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slicers/slicer2.xml" ContentType="application/vnd.ms-excel.slicer+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defaultThemeVersion="166925"/>
  <mc:AlternateContent xmlns:mc="http://schemas.openxmlformats.org/markup-compatibility/2006">
    <mc:Choice Requires="x15">
      <x15ac:absPath xmlns:x15ac="http://schemas.microsoft.com/office/spreadsheetml/2010/11/ac" url="https://tecategroup.sharepoint.com/sites/sharepointdev/Shared Documents/Support_Files/"/>
    </mc:Choice>
  </mc:AlternateContent>
  <xr:revisionPtr revIDLastSave="1130" documentId="8_{4337049C-5586-4754-A47E-4C85DD325C73}" xr6:coauthVersionLast="43" xr6:coauthVersionMax="43" xr10:uidLastSave="{CE16CCD7-63FA-4055-9B25-C7A37F8ED9A4}"/>
  <workbookProtection workbookAlgorithmName="SHA-512" workbookHashValue="UIRSWqIPjT53Etswf/fWJZ6sy5JkXf37A6loHkEWkSntdthvbMiLexL6YLc148VVhkc1ds5VBBeeN7SSOlooKQ==" workbookSaltValue="sto1oPf2b/vEb1BYEmGa8Q==" workbookSpinCount="100000" lockStructure="1"/>
  <bookViews>
    <workbookView showHorizontalScroll="0" showVerticalScroll="0" showSheetTabs="0" xWindow="5760" yWindow="1830" windowWidth="18150" windowHeight="14130" xr2:uid="{7A6D7B58-5813-46ED-BB4B-0A8DB8BBEC53}"/>
  </bookViews>
  <sheets>
    <sheet name="Inputs" sheetId="6" r:id="rId1"/>
    <sheet name="Calculations" sheetId="8" state="hidden" r:id="rId2"/>
    <sheet name="Product Data" sheetId="5" state="hidden" r:id="rId3"/>
  </sheets>
  <definedNames>
    <definedName name="Cells">Table2[#All]</definedName>
    <definedName name="Constant">Inputs!$D$9</definedName>
    <definedName name="Current">Inputs!$D$9</definedName>
    <definedName name="HeightTable">Table9[]</definedName>
    <definedName name="MaxH">Calculations!$H$2</definedName>
    <definedName name="MinV">Inputs!$D$8</definedName>
    <definedName name="Modules">Table3[#All]</definedName>
    <definedName name="Selection">Calculations!#REF!</definedName>
    <definedName name="Slicer_Constant">#N/A</definedName>
    <definedName name="Slicer_Height">#N/A</definedName>
    <definedName name="Slicer_Temp_Range">#N/A</definedName>
    <definedName name="TempRange">Calculations!$I$2</definedName>
    <definedName name="TempTable">#REF!</definedName>
    <definedName name="Time">Inputs!$D$10</definedName>
    <definedName name="WorkingV">Inputs!$D$7</definedName>
  </definedNames>
  <calcPr calcId="191029"/>
  <pivotCaches>
    <pivotCache cacheId="15" r:id="rId4"/>
    <pivotCache cacheId="16" r:id="rId5"/>
    <pivotCache cacheId="17" r:id="rId6"/>
  </pivotCaches>
  <extLst>
    <ext xmlns:x14="http://schemas.microsoft.com/office/spreadsheetml/2009/9/main" uri="{BBE1A952-AA13-448e-AADC-164F8A28A991}">
      <x14:slicerCaches>
        <x14:slicerCache r:id="rId7"/>
        <x14:slicerCache r:id="rId8"/>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7" i="8" l="1"/>
  <c r="U17" i="8" s="1"/>
  <c r="B152" i="5" l="1"/>
  <c r="B153" i="5"/>
  <c r="B154" i="5"/>
  <c r="B155" i="5"/>
  <c r="D152" i="5"/>
  <c r="E152" i="5" s="1"/>
  <c r="D153" i="5"/>
  <c r="E153" i="5" s="1"/>
  <c r="D154" i="5"/>
  <c r="E154" i="5" s="1"/>
  <c r="D155" i="5"/>
  <c r="G152" i="5"/>
  <c r="G153" i="5"/>
  <c r="G154" i="5"/>
  <c r="G155" i="5"/>
  <c r="H152" i="5"/>
  <c r="H153" i="5"/>
  <c r="H154" i="5"/>
  <c r="H155" i="5"/>
  <c r="R152" i="5"/>
  <c r="R153" i="5"/>
  <c r="R154" i="5"/>
  <c r="R155" i="5"/>
  <c r="U152" i="5"/>
  <c r="U153" i="5"/>
  <c r="U154" i="5"/>
  <c r="U155" i="5"/>
  <c r="E155" i="5" l="1"/>
  <c r="B147" i="5"/>
  <c r="B148" i="5"/>
  <c r="B149" i="5"/>
  <c r="B150" i="5"/>
  <c r="B151" i="5"/>
  <c r="D147" i="5"/>
  <c r="E147" i="5" s="1"/>
  <c r="D148" i="5"/>
  <c r="E148" i="5" s="1"/>
  <c r="D149" i="5"/>
  <c r="D150" i="5"/>
  <c r="D151" i="5"/>
  <c r="E149" i="5"/>
  <c r="G147" i="5"/>
  <c r="G148" i="5"/>
  <c r="G149" i="5"/>
  <c r="G150" i="5"/>
  <c r="G151" i="5"/>
  <c r="H147" i="5"/>
  <c r="H148" i="5"/>
  <c r="H149" i="5"/>
  <c r="H150" i="5"/>
  <c r="H151" i="5"/>
  <c r="R147" i="5"/>
  <c r="R148" i="5"/>
  <c r="R149" i="5"/>
  <c r="R150" i="5"/>
  <c r="R151" i="5"/>
  <c r="U147" i="5"/>
  <c r="U148" i="5"/>
  <c r="U149" i="5"/>
  <c r="U150" i="5"/>
  <c r="U151" i="5"/>
  <c r="E151" i="5" l="1"/>
  <c r="E150" i="5"/>
  <c r="B124" i="5"/>
  <c r="B125" i="5"/>
  <c r="B126" i="5"/>
  <c r="B127" i="5"/>
  <c r="B128" i="5"/>
  <c r="B129" i="5"/>
  <c r="B130" i="5"/>
  <c r="B131" i="5"/>
  <c r="B132" i="5"/>
  <c r="B133" i="5"/>
  <c r="B134" i="5"/>
  <c r="B135" i="5"/>
  <c r="B136" i="5"/>
  <c r="B137" i="5"/>
  <c r="B138" i="5"/>
  <c r="B139" i="5"/>
  <c r="B140" i="5"/>
  <c r="B141" i="5"/>
  <c r="B142" i="5"/>
  <c r="B143" i="5"/>
  <c r="B144" i="5"/>
  <c r="B145" i="5"/>
  <c r="B146" i="5"/>
  <c r="D124" i="5"/>
  <c r="E124" i="5" s="1"/>
  <c r="D125" i="5"/>
  <c r="E125" i="5" s="1"/>
  <c r="D126" i="5"/>
  <c r="E126" i="5" s="1"/>
  <c r="D127" i="5"/>
  <c r="E127" i="5" s="1"/>
  <c r="D128" i="5"/>
  <c r="E128" i="5" s="1"/>
  <c r="D129" i="5"/>
  <c r="E129" i="5" s="1"/>
  <c r="D130" i="5"/>
  <c r="E130" i="5" s="1"/>
  <c r="D131" i="5"/>
  <c r="E131" i="5" s="1"/>
  <c r="D132" i="5"/>
  <c r="D133" i="5"/>
  <c r="E133" i="5" s="1"/>
  <c r="D134" i="5"/>
  <c r="E134" i="5" s="1"/>
  <c r="D135" i="5"/>
  <c r="E135" i="5" s="1"/>
  <c r="D136" i="5"/>
  <c r="E136" i="5" s="1"/>
  <c r="D137" i="5"/>
  <c r="D138" i="5"/>
  <c r="E138" i="5" s="1"/>
  <c r="D139" i="5"/>
  <c r="E139" i="5" s="1"/>
  <c r="D140" i="5"/>
  <c r="E140" i="5" s="1"/>
  <c r="D141" i="5"/>
  <c r="E141" i="5" s="1"/>
  <c r="D142" i="5"/>
  <c r="E142" i="5" s="1"/>
  <c r="D143" i="5"/>
  <c r="E143" i="5" s="1"/>
  <c r="D144" i="5"/>
  <c r="E144" i="5" s="1"/>
  <c r="D145" i="5"/>
  <c r="D146" i="5"/>
  <c r="G124" i="5"/>
  <c r="G125" i="5"/>
  <c r="G126" i="5"/>
  <c r="G127" i="5"/>
  <c r="G128" i="5"/>
  <c r="G129" i="5"/>
  <c r="G130" i="5"/>
  <c r="G131" i="5"/>
  <c r="G132" i="5"/>
  <c r="G133" i="5"/>
  <c r="G134" i="5"/>
  <c r="G135" i="5"/>
  <c r="G136" i="5"/>
  <c r="G137" i="5"/>
  <c r="G138" i="5"/>
  <c r="G139" i="5"/>
  <c r="G140" i="5"/>
  <c r="G141" i="5"/>
  <c r="G142" i="5"/>
  <c r="G143" i="5"/>
  <c r="G144" i="5"/>
  <c r="G145" i="5"/>
  <c r="G146" i="5"/>
  <c r="H124" i="5"/>
  <c r="H125" i="5"/>
  <c r="H126" i="5"/>
  <c r="H127" i="5"/>
  <c r="H128" i="5"/>
  <c r="H129" i="5"/>
  <c r="H130" i="5"/>
  <c r="H131" i="5"/>
  <c r="H132" i="5"/>
  <c r="H133" i="5"/>
  <c r="H134" i="5"/>
  <c r="H135" i="5"/>
  <c r="H136" i="5"/>
  <c r="H137" i="5"/>
  <c r="H138" i="5"/>
  <c r="H139" i="5"/>
  <c r="H140" i="5"/>
  <c r="H141" i="5"/>
  <c r="H142" i="5"/>
  <c r="H143" i="5"/>
  <c r="H144" i="5"/>
  <c r="H145" i="5"/>
  <c r="H146" i="5"/>
  <c r="R124" i="5"/>
  <c r="R125" i="5"/>
  <c r="R126" i="5"/>
  <c r="R127" i="5"/>
  <c r="R128" i="5"/>
  <c r="R129" i="5"/>
  <c r="R130" i="5"/>
  <c r="R131" i="5"/>
  <c r="R132" i="5"/>
  <c r="R133" i="5"/>
  <c r="R134" i="5"/>
  <c r="R135" i="5"/>
  <c r="R136" i="5"/>
  <c r="R137" i="5"/>
  <c r="R138" i="5"/>
  <c r="R139" i="5"/>
  <c r="R140" i="5"/>
  <c r="R141" i="5"/>
  <c r="R142" i="5"/>
  <c r="R143" i="5"/>
  <c r="R144" i="5"/>
  <c r="R145" i="5"/>
  <c r="R146" i="5"/>
  <c r="U124" i="5"/>
  <c r="U125" i="5"/>
  <c r="U126" i="5"/>
  <c r="U127" i="5"/>
  <c r="U128" i="5"/>
  <c r="U129" i="5"/>
  <c r="U130" i="5"/>
  <c r="U131" i="5"/>
  <c r="U132" i="5"/>
  <c r="U133" i="5"/>
  <c r="U134" i="5"/>
  <c r="U135" i="5"/>
  <c r="U136" i="5"/>
  <c r="U137" i="5"/>
  <c r="U138" i="5"/>
  <c r="U139" i="5"/>
  <c r="U140" i="5"/>
  <c r="U141" i="5"/>
  <c r="U142" i="5"/>
  <c r="U143" i="5"/>
  <c r="U144" i="5"/>
  <c r="U145" i="5"/>
  <c r="U146" i="5"/>
  <c r="E137" i="5" l="1"/>
  <c r="E145" i="5"/>
  <c r="E132" i="5"/>
  <c r="E146" i="5"/>
  <c r="E9" i="6"/>
  <c r="A9" i="6" l="1"/>
  <c r="H2" i="8"/>
  <c r="I2" i="8"/>
  <c r="J2" i="8"/>
  <c r="S154" i="5" l="1"/>
  <c r="T153" i="5"/>
  <c r="I153" i="5" s="1"/>
  <c r="T155" i="5"/>
  <c r="I155" i="5" s="1"/>
  <c r="S152" i="5"/>
  <c r="S153" i="5"/>
  <c r="S155" i="5"/>
  <c r="T152" i="5"/>
  <c r="I152" i="5" s="1"/>
  <c r="T154" i="5"/>
  <c r="I154" i="5" s="1"/>
  <c r="T151" i="5"/>
  <c r="I151" i="5" s="1"/>
  <c r="S147" i="5"/>
  <c r="S150" i="5"/>
  <c r="S151" i="5"/>
  <c r="T148" i="5"/>
  <c r="I148" i="5" s="1"/>
  <c r="T149" i="5"/>
  <c r="I149" i="5" s="1"/>
  <c r="S148" i="5"/>
  <c r="T147" i="5"/>
  <c r="I147" i="5" s="1"/>
  <c r="S149" i="5"/>
  <c r="T150" i="5"/>
  <c r="I150" i="5" s="1"/>
  <c r="S2" i="5"/>
  <c r="S126" i="5"/>
  <c r="S130" i="5"/>
  <c r="S134" i="5"/>
  <c r="S138" i="5"/>
  <c r="S142" i="5"/>
  <c r="S146" i="5"/>
  <c r="T127" i="5"/>
  <c r="I127" i="5" s="1"/>
  <c r="T131" i="5"/>
  <c r="I131" i="5" s="1"/>
  <c r="T135" i="5"/>
  <c r="I135" i="5" s="1"/>
  <c r="T139" i="5"/>
  <c r="I139" i="5" s="1"/>
  <c r="T143" i="5"/>
  <c r="I143" i="5" s="1"/>
  <c r="S124" i="5"/>
  <c r="S132" i="5"/>
  <c r="S140" i="5"/>
  <c r="T125" i="5"/>
  <c r="I125" i="5" s="1"/>
  <c r="T133" i="5"/>
  <c r="I133" i="5" s="1"/>
  <c r="T141" i="5"/>
  <c r="I141" i="5" s="1"/>
  <c r="S125" i="5"/>
  <c r="S133" i="5"/>
  <c r="S141" i="5"/>
  <c r="T126" i="5"/>
  <c r="I126" i="5" s="1"/>
  <c r="T130" i="5"/>
  <c r="I130" i="5" s="1"/>
  <c r="T138" i="5"/>
  <c r="I138" i="5" s="1"/>
  <c r="T146" i="5"/>
  <c r="I146" i="5" s="1"/>
  <c r="S127" i="5"/>
  <c r="S131" i="5"/>
  <c r="S135" i="5"/>
  <c r="S139" i="5"/>
  <c r="S143" i="5"/>
  <c r="T124" i="5"/>
  <c r="I124" i="5" s="1"/>
  <c r="T128" i="5"/>
  <c r="I128" i="5" s="1"/>
  <c r="T132" i="5"/>
  <c r="I132" i="5" s="1"/>
  <c r="T136" i="5"/>
  <c r="I136" i="5" s="1"/>
  <c r="T140" i="5"/>
  <c r="I140" i="5" s="1"/>
  <c r="T144" i="5"/>
  <c r="I144" i="5" s="1"/>
  <c r="S128" i="5"/>
  <c r="S136" i="5"/>
  <c r="S144" i="5"/>
  <c r="T129" i="5"/>
  <c r="I129" i="5" s="1"/>
  <c r="T137" i="5"/>
  <c r="I137" i="5" s="1"/>
  <c r="T145" i="5"/>
  <c r="I145" i="5" s="1"/>
  <c r="S129" i="5"/>
  <c r="S137" i="5"/>
  <c r="S145" i="5"/>
  <c r="T134" i="5"/>
  <c r="I134" i="5" s="1"/>
  <c r="T142" i="5"/>
  <c r="I142" i="5" s="1"/>
  <c r="K2" i="8"/>
  <c r="L2" i="8"/>
  <c r="T99" i="5"/>
  <c r="I99" i="5" s="1"/>
  <c r="T67" i="5"/>
  <c r="I67" i="5" s="1"/>
  <c r="T35" i="5"/>
  <c r="I35" i="5" s="1"/>
  <c r="T3" i="5"/>
  <c r="I3" i="5" s="1"/>
  <c r="S93" i="5"/>
  <c r="S41" i="5"/>
  <c r="T43" i="5"/>
  <c r="I43" i="5" s="1"/>
  <c r="S101" i="5"/>
  <c r="T59" i="5"/>
  <c r="I59" i="5" s="1"/>
  <c r="S117" i="5"/>
  <c r="S85" i="5"/>
  <c r="S25" i="5"/>
  <c r="T107" i="5"/>
  <c r="I107" i="5" s="1"/>
  <c r="T75" i="5"/>
  <c r="I75" i="5" s="1"/>
  <c r="T11" i="5"/>
  <c r="I11" i="5" s="1"/>
  <c r="S57" i="5"/>
  <c r="T123" i="5"/>
  <c r="I123" i="5" s="1"/>
  <c r="T91" i="5"/>
  <c r="I91" i="5" s="1"/>
  <c r="T27" i="5"/>
  <c r="I27" i="5" s="1"/>
  <c r="T115" i="5"/>
  <c r="I115" i="5" s="1"/>
  <c r="T83" i="5"/>
  <c r="I83" i="5" s="1"/>
  <c r="T51" i="5"/>
  <c r="I51" i="5" s="1"/>
  <c r="T19" i="5"/>
  <c r="I19" i="5" s="1"/>
  <c r="S109" i="5"/>
  <c r="S73" i="5"/>
  <c r="S9" i="5"/>
  <c r="T122" i="5"/>
  <c r="I122" i="5" s="1"/>
  <c r="T114" i="5"/>
  <c r="I114" i="5" s="1"/>
  <c r="T106" i="5"/>
  <c r="I106" i="5" s="1"/>
  <c r="T98" i="5"/>
  <c r="I98" i="5" s="1"/>
  <c r="T90" i="5"/>
  <c r="I90" i="5" s="1"/>
  <c r="T82" i="5"/>
  <c r="I82" i="5" s="1"/>
  <c r="T74" i="5"/>
  <c r="I74" i="5" s="1"/>
  <c r="T66" i="5"/>
  <c r="I66" i="5" s="1"/>
  <c r="T58" i="5"/>
  <c r="I58" i="5" s="1"/>
  <c r="T50" i="5"/>
  <c r="I50" i="5" s="1"/>
  <c r="T42" i="5"/>
  <c r="I42" i="5" s="1"/>
  <c r="T34" i="5"/>
  <c r="I34" i="5" s="1"/>
  <c r="T26" i="5"/>
  <c r="I26" i="5" s="1"/>
  <c r="T18" i="5"/>
  <c r="I18" i="5" s="1"/>
  <c r="T10" i="5"/>
  <c r="I10" i="5" s="1"/>
  <c r="T2" i="5"/>
  <c r="I2" i="5" s="1"/>
  <c r="S116" i="5"/>
  <c r="S108" i="5"/>
  <c r="S100" i="5"/>
  <c r="S92" i="5"/>
  <c r="S84" i="5"/>
  <c r="S69" i="5"/>
  <c r="S53" i="5"/>
  <c r="S37" i="5"/>
  <c r="S21" i="5"/>
  <c r="S5" i="5"/>
  <c r="T119" i="5"/>
  <c r="I119" i="5" s="1"/>
  <c r="T111" i="5"/>
  <c r="I111" i="5" s="1"/>
  <c r="T103" i="5"/>
  <c r="I103" i="5" s="1"/>
  <c r="T95" i="5"/>
  <c r="I95" i="5" s="1"/>
  <c r="T87" i="5"/>
  <c r="I87" i="5" s="1"/>
  <c r="T79" i="5"/>
  <c r="I79" i="5" s="1"/>
  <c r="T71" i="5"/>
  <c r="I71" i="5" s="1"/>
  <c r="T63" i="5"/>
  <c r="I63" i="5" s="1"/>
  <c r="T55" i="5"/>
  <c r="I55" i="5" s="1"/>
  <c r="T47" i="5"/>
  <c r="I47" i="5" s="1"/>
  <c r="T39" i="5"/>
  <c r="I39" i="5" s="1"/>
  <c r="T31" i="5"/>
  <c r="I31" i="5" s="1"/>
  <c r="T23" i="5"/>
  <c r="I23" i="5" s="1"/>
  <c r="T15" i="5"/>
  <c r="I15" i="5" s="1"/>
  <c r="T7" i="5"/>
  <c r="I7" i="5" s="1"/>
  <c r="S121" i="5"/>
  <c r="S113" i="5"/>
  <c r="S105" i="5"/>
  <c r="S97" i="5"/>
  <c r="S89" i="5"/>
  <c r="S81" i="5"/>
  <c r="S65" i="5"/>
  <c r="S49" i="5"/>
  <c r="S33" i="5"/>
  <c r="S17" i="5"/>
  <c r="T118" i="5"/>
  <c r="I118" i="5" s="1"/>
  <c r="T110" i="5"/>
  <c r="I110" i="5" s="1"/>
  <c r="T102" i="5"/>
  <c r="I102" i="5" s="1"/>
  <c r="T94" i="5"/>
  <c r="I94" i="5" s="1"/>
  <c r="T86" i="5"/>
  <c r="I86" i="5" s="1"/>
  <c r="T78" i="5"/>
  <c r="I78" i="5" s="1"/>
  <c r="T70" i="5"/>
  <c r="I70" i="5" s="1"/>
  <c r="T62" i="5"/>
  <c r="I62" i="5" s="1"/>
  <c r="T54" i="5"/>
  <c r="I54" i="5" s="1"/>
  <c r="T46" i="5"/>
  <c r="I46" i="5" s="1"/>
  <c r="T38" i="5"/>
  <c r="I38" i="5" s="1"/>
  <c r="T30" i="5"/>
  <c r="I30" i="5" s="1"/>
  <c r="T22" i="5"/>
  <c r="I22" i="5" s="1"/>
  <c r="T14" i="5"/>
  <c r="I14" i="5" s="1"/>
  <c r="T6" i="5"/>
  <c r="I6" i="5" s="1"/>
  <c r="S120" i="5"/>
  <c r="S112" i="5"/>
  <c r="S104" i="5"/>
  <c r="S96" i="5"/>
  <c r="S88" i="5"/>
  <c r="S77" i="5"/>
  <c r="S61" i="5"/>
  <c r="S45" i="5"/>
  <c r="S29" i="5"/>
  <c r="S13" i="5"/>
  <c r="S80" i="5"/>
  <c r="S76" i="5"/>
  <c r="S72" i="5"/>
  <c r="S68" i="5"/>
  <c r="S64" i="5"/>
  <c r="S60" i="5"/>
  <c r="S56" i="5"/>
  <c r="S52" i="5"/>
  <c r="S48" i="5"/>
  <c r="S44" i="5"/>
  <c r="S40" i="5"/>
  <c r="S36" i="5"/>
  <c r="S32" i="5"/>
  <c r="S28" i="5"/>
  <c r="S24" i="5"/>
  <c r="S20" i="5"/>
  <c r="S16" i="5"/>
  <c r="S12" i="5"/>
  <c r="S8" i="5"/>
  <c r="S4" i="5"/>
  <c r="T121" i="5"/>
  <c r="I121" i="5" s="1"/>
  <c r="T117" i="5"/>
  <c r="I117" i="5" s="1"/>
  <c r="T113" i="5"/>
  <c r="I113" i="5" s="1"/>
  <c r="T109" i="5"/>
  <c r="I109" i="5" s="1"/>
  <c r="T105" i="5"/>
  <c r="I105" i="5" s="1"/>
  <c r="T101" i="5"/>
  <c r="I101" i="5" s="1"/>
  <c r="T97" i="5"/>
  <c r="I97" i="5" s="1"/>
  <c r="T93" i="5"/>
  <c r="I93" i="5" s="1"/>
  <c r="T89" i="5"/>
  <c r="I89" i="5" s="1"/>
  <c r="T85" i="5"/>
  <c r="I85" i="5" s="1"/>
  <c r="T81" i="5"/>
  <c r="I81" i="5" s="1"/>
  <c r="T77" i="5"/>
  <c r="I77" i="5" s="1"/>
  <c r="T73" i="5"/>
  <c r="I73" i="5" s="1"/>
  <c r="T69" i="5"/>
  <c r="I69" i="5" s="1"/>
  <c r="T65" i="5"/>
  <c r="I65" i="5" s="1"/>
  <c r="T61" i="5"/>
  <c r="I61" i="5" s="1"/>
  <c r="T57" i="5"/>
  <c r="I57" i="5" s="1"/>
  <c r="T53" i="5"/>
  <c r="I53" i="5" s="1"/>
  <c r="T49" i="5"/>
  <c r="I49" i="5" s="1"/>
  <c r="T45" i="5"/>
  <c r="I45" i="5" s="1"/>
  <c r="T41" i="5"/>
  <c r="I41" i="5" s="1"/>
  <c r="T37" i="5"/>
  <c r="I37" i="5" s="1"/>
  <c r="T33" i="5"/>
  <c r="I33" i="5" s="1"/>
  <c r="T29" i="5"/>
  <c r="I29" i="5" s="1"/>
  <c r="T25" i="5"/>
  <c r="I25" i="5" s="1"/>
  <c r="T21" i="5"/>
  <c r="I21" i="5" s="1"/>
  <c r="T17" i="5"/>
  <c r="I17" i="5" s="1"/>
  <c r="T13" i="5"/>
  <c r="I13" i="5" s="1"/>
  <c r="T9" i="5"/>
  <c r="I9" i="5" s="1"/>
  <c r="T5" i="5"/>
  <c r="I5" i="5" s="1"/>
  <c r="S123" i="5"/>
  <c r="S119" i="5"/>
  <c r="S115" i="5"/>
  <c r="S111" i="5"/>
  <c r="S107" i="5"/>
  <c r="S103" i="5"/>
  <c r="S99" i="5"/>
  <c r="S95" i="5"/>
  <c r="S91" i="5"/>
  <c r="S87" i="5"/>
  <c r="S83" i="5"/>
  <c r="S79" i="5"/>
  <c r="S75" i="5"/>
  <c r="S71" i="5"/>
  <c r="S67" i="5"/>
  <c r="S63" i="5"/>
  <c r="S59" i="5"/>
  <c r="S55" i="5"/>
  <c r="S51" i="5"/>
  <c r="S47" i="5"/>
  <c r="S43" i="5"/>
  <c r="S39" i="5"/>
  <c r="S35" i="5"/>
  <c r="S31" i="5"/>
  <c r="S27" i="5"/>
  <c r="S23" i="5"/>
  <c r="S19" i="5"/>
  <c r="S15" i="5"/>
  <c r="S11" i="5"/>
  <c r="S7" i="5"/>
  <c r="S3" i="5"/>
  <c r="T120" i="5"/>
  <c r="I120" i="5" s="1"/>
  <c r="T116" i="5"/>
  <c r="I116" i="5" s="1"/>
  <c r="T112" i="5"/>
  <c r="I112" i="5" s="1"/>
  <c r="T108" i="5"/>
  <c r="I108" i="5" s="1"/>
  <c r="T104" i="5"/>
  <c r="I104" i="5" s="1"/>
  <c r="T100" i="5"/>
  <c r="I100" i="5" s="1"/>
  <c r="T96" i="5"/>
  <c r="I96" i="5" s="1"/>
  <c r="T92" i="5"/>
  <c r="I92" i="5" s="1"/>
  <c r="T88" i="5"/>
  <c r="I88" i="5" s="1"/>
  <c r="T84" i="5"/>
  <c r="I84" i="5" s="1"/>
  <c r="T80" i="5"/>
  <c r="I80" i="5" s="1"/>
  <c r="T76" i="5"/>
  <c r="I76" i="5" s="1"/>
  <c r="T72" i="5"/>
  <c r="I72" i="5" s="1"/>
  <c r="T68" i="5"/>
  <c r="I68" i="5" s="1"/>
  <c r="T64" i="5"/>
  <c r="I64" i="5" s="1"/>
  <c r="T60" i="5"/>
  <c r="I60" i="5" s="1"/>
  <c r="T56" i="5"/>
  <c r="I56" i="5" s="1"/>
  <c r="T52" i="5"/>
  <c r="I52" i="5" s="1"/>
  <c r="T48" i="5"/>
  <c r="I48" i="5" s="1"/>
  <c r="T44" i="5"/>
  <c r="I44" i="5" s="1"/>
  <c r="T40" i="5"/>
  <c r="I40" i="5" s="1"/>
  <c r="T36" i="5"/>
  <c r="I36" i="5" s="1"/>
  <c r="T32" i="5"/>
  <c r="I32" i="5" s="1"/>
  <c r="T28" i="5"/>
  <c r="I28" i="5" s="1"/>
  <c r="T24" i="5"/>
  <c r="I24" i="5" s="1"/>
  <c r="T20" i="5"/>
  <c r="I20" i="5" s="1"/>
  <c r="T16" i="5"/>
  <c r="I16" i="5" s="1"/>
  <c r="T12" i="5"/>
  <c r="I12" i="5" s="1"/>
  <c r="T8" i="5"/>
  <c r="I8" i="5" s="1"/>
  <c r="T4" i="5"/>
  <c r="I4" i="5" s="1"/>
  <c r="S122" i="5"/>
  <c r="S118" i="5"/>
  <c r="S114" i="5"/>
  <c r="S110" i="5"/>
  <c r="S106" i="5"/>
  <c r="S102" i="5"/>
  <c r="S98" i="5"/>
  <c r="S94" i="5"/>
  <c r="S90" i="5"/>
  <c r="S86" i="5"/>
  <c r="S82" i="5"/>
  <c r="S78" i="5"/>
  <c r="S74" i="5"/>
  <c r="S70" i="5"/>
  <c r="S66" i="5"/>
  <c r="S62" i="5"/>
  <c r="S58" i="5"/>
  <c r="S54" i="5"/>
  <c r="S50" i="5"/>
  <c r="S46" i="5"/>
  <c r="S42" i="5"/>
  <c r="S38" i="5"/>
  <c r="S34" i="5"/>
  <c r="S30" i="5"/>
  <c r="S26" i="5"/>
  <c r="S22" i="5"/>
  <c r="S18" i="5"/>
  <c r="S14" i="5"/>
  <c r="S10" i="5"/>
  <c r="S6" i="5"/>
  <c r="K12" i="8"/>
  <c r="Q155" i="5" l="1"/>
  <c r="Q152" i="5"/>
  <c r="Q154" i="5"/>
  <c r="Q153" i="5"/>
  <c r="Q151" i="5"/>
  <c r="Q150" i="5"/>
  <c r="Q149" i="5"/>
  <c r="Q148" i="5"/>
  <c r="Q147" i="5"/>
  <c r="J151" i="5"/>
  <c r="L151" i="5" s="1"/>
  <c r="C151" i="5" s="1"/>
  <c r="K151" i="5"/>
  <c r="K154" i="5"/>
  <c r="J154" i="5"/>
  <c r="L154" i="5" s="1"/>
  <c r="C154" i="5" s="1"/>
  <c r="J152" i="5"/>
  <c r="L152" i="5" s="1"/>
  <c r="F152" i="5" s="1"/>
  <c r="K152" i="5"/>
  <c r="J150" i="5"/>
  <c r="L150" i="5" s="1"/>
  <c r="C150" i="5" s="1"/>
  <c r="K150" i="5"/>
  <c r="J147" i="5"/>
  <c r="L147" i="5" s="1"/>
  <c r="F147" i="5" s="1"/>
  <c r="K147" i="5"/>
  <c r="J155" i="5"/>
  <c r="L155" i="5" s="1"/>
  <c r="C155" i="5" s="1"/>
  <c r="K155" i="5"/>
  <c r="J149" i="5"/>
  <c r="L149" i="5" s="1"/>
  <c r="M149" i="5" s="1"/>
  <c r="K149" i="5"/>
  <c r="K153" i="5"/>
  <c r="J153" i="5"/>
  <c r="L153" i="5" s="1"/>
  <c r="M153" i="5" s="1"/>
  <c r="J148" i="5"/>
  <c r="L148" i="5" s="1"/>
  <c r="M148" i="5" s="1"/>
  <c r="K148" i="5"/>
  <c r="K129" i="5"/>
  <c r="J129" i="5"/>
  <c r="L129" i="5" s="1"/>
  <c r="C129" i="5" s="1"/>
  <c r="K144" i="5"/>
  <c r="J144" i="5"/>
  <c r="L144" i="5" s="1"/>
  <c r="C144" i="5" s="1"/>
  <c r="J128" i="5"/>
  <c r="L128" i="5" s="1"/>
  <c r="F128" i="5" s="1"/>
  <c r="K128" i="5"/>
  <c r="K138" i="5"/>
  <c r="J138" i="5"/>
  <c r="J125" i="5"/>
  <c r="K125" i="5"/>
  <c r="J143" i="5"/>
  <c r="K143" i="5"/>
  <c r="K127" i="5"/>
  <c r="J127" i="5"/>
  <c r="L127" i="5" s="1"/>
  <c r="C127" i="5" s="1"/>
  <c r="Q127" i="5"/>
  <c r="Q132" i="5"/>
  <c r="Q137" i="5"/>
  <c r="Q143" i="5"/>
  <c r="Q129" i="5"/>
  <c r="Q140" i="5"/>
  <c r="Q125" i="5"/>
  <c r="Q136" i="5"/>
  <c r="Q128" i="5"/>
  <c r="Q133" i="5"/>
  <c r="Q139" i="5"/>
  <c r="Q144" i="5"/>
  <c r="Q124" i="5"/>
  <c r="Q135" i="5"/>
  <c r="Q145" i="5"/>
  <c r="Q131" i="5"/>
  <c r="Q141" i="5"/>
  <c r="Q142" i="5"/>
  <c r="Q138" i="5"/>
  <c r="Q134" i="5"/>
  <c r="Q126" i="5"/>
  <c r="Q146" i="5"/>
  <c r="Q130" i="5"/>
  <c r="J140" i="5"/>
  <c r="L140" i="5" s="1"/>
  <c r="C140" i="5" s="1"/>
  <c r="K140" i="5"/>
  <c r="K130" i="5"/>
  <c r="J130" i="5"/>
  <c r="J134" i="5"/>
  <c r="K134" i="5"/>
  <c r="J145" i="5"/>
  <c r="K145" i="5"/>
  <c r="K136" i="5"/>
  <c r="J136" i="5"/>
  <c r="J126" i="5"/>
  <c r="K126" i="5"/>
  <c r="K141" i="5"/>
  <c r="J141" i="5"/>
  <c r="K135" i="5"/>
  <c r="J135" i="5"/>
  <c r="J142" i="5"/>
  <c r="K142" i="5"/>
  <c r="J124" i="5"/>
  <c r="K124" i="5"/>
  <c r="J139" i="5"/>
  <c r="L139" i="5" s="1"/>
  <c r="C139" i="5" s="1"/>
  <c r="K139" i="5"/>
  <c r="K137" i="5"/>
  <c r="J137" i="5"/>
  <c r="L137" i="5" s="1"/>
  <c r="C137" i="5" s="1"/>
  <c r="K132" i="5"/>
  <c r="J132" i="5"/>
  <c r="K146" i="5"/>
  <c r="J146" i="5"/>
  <c r="J133" i="5"/>
  <c r="K133" i="5"/>
  <c r="J131" i="5"/>
  <c r="K131" i="5"/>
  <c r="U6" i="5"/>
  <c r="U5" i="5"/>
  <c r="U7" i="5"/>
  <c r="U4" i="5"/>
  <c r="U3" i="5"/>
  <c r="U2" i="5"/>
  <c r="U116" i="5"/>
  <c r="U108" i="5"/>
  <c r="U105" i="5"/>
  <c r="U37" i="5"/>
  <c r="U25" i="5"/>
  <c r="U95" i="5"/>
  <c r="U23" i="5"/>
  <c r="U20" i="5"/>
  <c r="U81" i="5"/>
  <c r="U82" i="5"/>
  <c r="U18" i="5"/>
  <c r="U69" i="5"/>
  <c r="U58" i="5"/>
  <c r="U16" i="5"/>
  <c r="U10" i="5"/>
  <c r="U44" i="5"/>
  <c r="U8" i="5"/>
  <c r="U9" i="5"/>
  <c r="U52" i="5"/>
  <c r="U117" i="5"/>
  <c r="U53" i="5"/>
  <c r="U107" i="5"/>
  <c r="U19" i="5"/>
  <c r="U11" i="5"/>
  <c r="U33" i="5"/>
  <c r="U17" i="5"/>
  <c r="U96" i="5"/>
  <c r="U70" i="5"/>
  <c r="U79" i="5"/>
  <c r="U89" i="5"/>
  <c r="U97" i="5"/>
  <c r="U102" i="5"/>
  <c r="U47" i="5"/>
  <c r="U57" i="5"/>
  <c r="U66" i="5"/>
  <c r="U76" i="5"/>
  <c r="U40" i="5"/>
  <c r="U48" i="5"/>
  <c r="U56" i="5"/>
  <c r="U64" i="5"/>
  <c r="U31" i="5"/>
  <c r="U42" i="5"/>
  <c r="U49" i="5"/>
  <c r="U54" i="5"/>
  <c r="U29" i="5"/>
  <c r="U38" i="5"/>
  <c r="U45" i="5"/>
  <c r="U50" i="5"/>
  <c r="U26" i="5"/>
  <c r="U32" i="5"/>
  <c r="U41" i="5"/>
  <c r="U46" i="5"/>
  <c r="U24" i="5"/>
  <c r="U30" i="5"/>
  <c r="U39" i="5"/>
  <c r="U43" i="5"/>
  <c r="U87" i="5"/>
  <c r="U78" i="5"/>
  <c r="U71" i="5"/>
  <c r="U65" i="5"/>
  <c r="U59" i="5"/>
  <c r="U121" i="5"/>
  <c r="U112" i="5"/>
  <c r="U101" i="5"/>
  <c r="U93" i="5"/>
  <c r="U86" i="5"/>
  <c r="U80" i="5"/>
  <c r="U75" i="5"/>
  <c r="U68" i="5"/>
  <c r="U115" i="5"/>
  <c r="U106" i="5"/>
  <c r="U88" i="5"/>
  <c r="U77" i="5"/>
  <c r="U67" i="5"/>
  <c r="U60" i="5"/>
  <c r="U55" i="5"/>
  <c r="U51" i="5"/>
  <c r="U118" i="5"/>
  <c r="U109" i="5"/>
  <c r="U94" i="5"/>
  <c r="U122" i="5"/>
  <c r="U119" i="5"/>
  <c r="U113" i="5"/>
  <c r="U110" i="5"/>
  <c r="U103" i="5"/>
  <c r="U34" i="5"/>
  <c r="U27" i="5"/>
  <c r="U98" i="5"/>
  <c r="U90" i="5"/>
  <c r="U83" i="5"/>
  <c r="U72" i="5"/>
  <c r="U61" i="5"/>
  <c r="U123" i="5"/>
  <c r="U120" i="5"/>
  <c r="U114" i="5"/>
  <c r="U111" i="5"/>
  <c r="U104" i="5"/>
  <c r="U35" i="5"/>
  <c r="U28" i="5"/>
  <c r="U99" i="5"/>
  <c r="U91" i="5"/>
  <c r="U84" i="5"/>
  <c r="U73" i="5"/>
  <c r="U62" i="5"/>
  <c r="U21" i="5"/>
  <c r="U12" i="5"/>
  <c r="U13" i="5"/>
  <c r="U100" i="5"/>
  <c r="U36" i="5"/>
  <c r="U92" i="5"/>
  <c r="U85" i="5"/>
  <c r="U74" i="5"/>
  <c r="U63" i="5"/>
  <c r="U22" i="5"/>
  <c r="U14" i="5"/>
  <c r="U15" i="5"/>
  <c r="Y17" i="8" l="1"/>
  <c r="Z17" i="8" s="1"/>
  <c r="F150" i="5"/>
  <c r="C149" i="5"/>
  <c r="M150" i="5"/>
  <c r="N150" i="5" s="1"/>
  <c r="A150" i="5" s="1"/>
  <c r="C152" i="5"/>
  <c r="C153" i="5"/>
  <c r="M152" i="5"/>
  <c r="O152" i="5" s="1"/>
  <c r="F155" i="5"/>
  <c r="F149" i="5"/>
  <c r="F154" i="5"/>
  <c r="M154" i="5"/>
  <c r="P154" i="5" s="1"/>
  <c r="C147" i="5"/>
  <c r="M147" i="5"/>
  <c r="P147" i="5" s="1"/>
  <c r="F151" i="5"/>
  <c r="M151" i="5"/>
  <c r="O151" i="5" s="1"/>
  <c r="C148" i="5"/>
  <c r="F148" i="5"/>
  <c r="M155" i="5"/>
  <c r="O155" i="5" s="1"/>
  <c r="F153" i="5"/>
  <c r="L125" i="5"/>
  <c r="C125" i="5" s="1"/>
  <c r="L131" i="5"/>
  <c r="C131" i="5" s="1"/>
  <c r="L124" i="5"/>
  <c r="F124" i="5" s="1"/>
  <c r="L145" i="5"/>
  <c r="C145" i="5" s="1"/>
  <c r="L138" i="5"/>
  <c r="C138" i="5" s="1"/>
  <c r="L133" i="5"/>
  <c r="C133" i="5" s="1"/>
  <c r="L142" i="5"/>
  <c r="C142" i="5" s="1"/>
  <c r="L134" i="5"/>
  <c r="C134" i="5" s="1"/>
  <c r="L146" i="5"/>
  <c r="C146" i="5" s="1"/>
  <c r="L135" i="5"/>
  <c r="C135" i="5" s="1"/>
  <c r="L130" i="5"/>
  <c r="C130" i="5" s="1"/>
  <c r="L132" i="5"/>
  <c r="M132" i="5" s="1"/>
  <c r="P132" i="5" s="1"/>
  <c r="L141" i="5"/>
  <c r="C141" i="5" s="1"/>
  <c r="L126" i="5"/>
  <c r="C126" i="5" s="1"/>
  <c r="L136" i="5"/>
  <c r="M136" i="5" s="1"/>
  <c r="L143" i="5"/>
  <c r="C143" i="5" s="1"/>
  <c r="N149" i="5"/>
  <c r="A149" i="5" s="1"/>
  <c r="O149" i="5"/>
  <c r="P149" i="5"/>
  <c r="P153" i="5"/>
  <c r="N153" i="5"/>
  <c r="A153" i="5" s="1"/>
  <c r="O153" i="5"/>
  <c r="N148" i="5"/>
  <c r="A148" i="5" s="1"/>
  <c r="O148" i="5"/>
  <c r="P148" i="5"/>
  <c r="M129" i="5"/>
  <c r="P129" i="5" s="1"/>
  <c r="F137" i="5"/>
  <c r="M140" i="5"/>
  <c r="P140" i="5" s="1"/>
  <c r="F140" i="5"/>
  <c r="F144" i="5"/>
  <c r="M139" i="5"/>
  <c r="O139" i="5" s="1"/>
  <c r="M137" i="5"/>
  <c r="F139" i="5"/>
  <c r="F127" i="5"/>
  <c r="F129" i="5"/>
  <c r="M127" i="5"/>
  <c r="M128" i="5"/>
  <c r="C128" i="5"/>
  <c r="M144" i="5"/>
  <c r="Y18" i="8"/>
  <c r="Z18" i="8" s="1"/>
  <c r="B110" i="5"/>
  <c r="K110" i="5" s="1"/>
  <c r="B119" i="5"/>
  <c r="K119" i="5" s="1"/>
  <c r="B90" i="5"/>
  <c r="K90" i="5" s="1"/>
  <c r="B101" i="5"/>
  <c r="J101" i="5" s="1"/>
  <c r="B103" i="5"/>
  <c r="J103" i="5" s="1"/>
  <c r="B28" i="5"/>
  <c r="J28" i="5" s="1"/>
  <c r="B3" i="5"/>
  <c r="K3" i="5" s="1"/>
  <c r="B19" i="5"/>
  <c r="J19" i="5" s="1"/>
  <c r="B69" i="5"/>
  <c r="J69" i="5" s="1"/>
  <c r="B89" i="5"/>
  <c r="J89" i="5" s="1"/>
  <c r="B4" i="5"/>
  <c r="J4" i="5" s="1"/>
  <c r="B6" i="5"/>
  <c r="K6" i="5" s="1"/>
  <c r="B40" i="5"/>
  <c r="J40" i="5" s="1"/>
  <c r="B53" i="5"/>
  <c r="J53" i="5" s="1"/>
  <c r="B67" i="5"/>
  <c r="K67" i="5" s="1"/>
  <c r="B24" i="5"/>
  <c r="J24" i="5" s="1"/>
  <c r="B41" i="5"/>
  <c r="J41" i="5" s="1"/>
  <c r="B97" i="5"/>
  <c r="J97" i="5" s="1"/>
  <c r="B79" i="5"/>
  <c r="J79" i="5" s="1"/>
  <c r="B16" i="5"/>
  <c r="J16" i="5" s="1"/>
  <c r="B117" i="5"/>
  <c r="J117" i="5" s="1"/>
  <c r="B47" i="5"/>
  <c r="K47" i="5" s="1"/>
  <c r="B115" i="5"/>
  <c r="K115" i="5" s="1"/>
  <c r="B74" i="5"/>
  <c r="K74" i="5" s="1"/>
  <c r="B23" i="5"/>
  <c r="K23" i="5" s="1"/>
  <c r="B93" i="5"/>
  <c r="K93" i="5" s="1"/>
  <c r="B31" i="5"/>
  <c r="J31" i="5" s="1"/>
  <c r="B34" i="5"/>
  <c r="K34" i="5" s="1"/>
  <c r="B17" i="5"/>
  <c r="J17" i="5" s="1"/>
  <c r="B99" i="5"/>
  <c r="J99" i="5" s="1"/>
  <c r="B11" i="5"/>
  <c r="J11" i="5" s="1"/>
  <c r="B58" i="5"/>
  <c r="J58" i="5" s="1"/>
  <c r="B32" i="5"/>
  <c r="J32" i="5" s="1"/>
  <c r="B54" i="5"/>
  <c r="K54" i="5" s="1"/>
  <c r="B86" i="5"/>
  <c r="K86" i="5" s="1"/>
  <c r="B38" i="5"/>
  <c r="K38" i="5" s="1"/>
  <c r="B70" i="5"/>
  <c r="K70" i="5" s="1"/>
  <c r="B29" i="5"/>
  <c r="J29" i="5" s="1"/>
  <c r="B76" i="5"/>
  <c r="J76" i="5" s="1"/>
  <c r="B57" i="5"/>
  <c r="J57" i="5" s="1"/>
  <c r="B49" i="5"/>
  <c r="J49" i="5" s="1"/>
  <c r="B48" i="5"/>
  <c r="J48" i="5" s="1"/>
  <c r="B95" i="5"/>
  <c r="J95" i="5" s="1"/>
  <c r="B107" i="5"/>
  <c r="K107" i="5" s="1"/>
  <c r="B9" i="5"/>
  <c r="K9" i="5" s="1"/>
  <c r="B73" i="5"/>
  <c r="J73" i="5" s="1"/>
  <c r="B63" i="5"/>
  <c r="J63" i="5" s="1"/>
  <c r="B2" i="5"/>
  <c r="K2" i="5" s="1"/>
  <c r="B75" i="5"/>
  <c r="J75" i="5" s="1"/>
  <c r="B51" i="5"/>
  <c r="J51" i="5" s="1"/>
  <c r="B88" i="5"/>
  <c r="K88" i="5" s="1"/>
  <c r="B94" i="5"/>
  <c r="K94" i="5" s="1"/>
  <c r="B116" i="5"/>
  <c r="J116" i="5" s="1"/>
  <c r="B44" i="5"/>
  <c r="J44" i="5" s="1"/>
  <c r="B35" i="5"/>
  <c r="K35" i="5" s="1"/>
  <c r="B82" i="5"/>
  <c r="K82" i="5" s="1"/>
  <c r="B64" i="5"/>
  <c r="J64" i="5" s="1"/>
  <c r="B66" i="5"/>
  <c r="K66" i="5" s="1"/>
  <c r="B105" i="5"/>
  <c r="J105" i="5" s="1"/>
  <c r="B46" i="5"/>
  <c r="K46" i="5" s="1"/>
  <c r="B5" i="5"/>
  <c r="J5" i="5" s="1"/>
  <c r="B96" i="5"/>
  <c r="J96" i="5" s="1"/>
  <c r="B102" i="5"/>
  <c r="J102" i="5" s="1"/>
  <c r="B26" i="5"/>
  <c r="K26" i="5" s="1"/>
  <c r="B43" i="5"/>
  <c r="K43" i="5" s="1"/>
  <c r="B30" i="5"/>
  <c r="K30" i="5" s="1"/>
  <c r="B120" i="5"/>
  <c r="J120" i="5" s="1"/>
  <c r="B100" i="5"/>
  <c r="J100" i="5" s="1"/>
  <c r="B113" i="5"/>
  <c r="J113" i="5" s="1"/>
  <c r="B112" i="5"/>
  <c r="J112" i="5" s="1"/>
  <c r="B59" i="5"/>
  <c r="J59" i="5" s="1"/>
  <c r="B71" i="5"/>
  <c r="K71" i="5" s="1"/>
  <c r="B7" i="5"/>
  <c r="K7" i="5" s="1"/>
  <c r="B78" i="5"/>
  <c r="K78" i="5" s="1"/>
  <c r="B121" i="5"/>
  <c r="J121" i="5" s="1"/>
  <c r="B118" i="5"/>
  <c r="K118" i="5" s="1"/>
  <c r="B25" i="5"/>
  <c r="J25" i="5" s="1"/>
  <c r="B65" i="5"/>
  <c r="J65" i="5" s="1"/>
  <c r="B122" i="5"/>
  <c r="K122" i="5" s="1"/>
  <c r="B68" i="5"/>
  <c r="J68" i="5" s="1"/>
  <c r="B56" i="5"/>
  <c r="J56" i="5" s="1"/>
  <c r="B111" i="5"/>
  <c r="J111" i="5" s="1"/>
  <c r="B87" i="5"/>
  <c r="J87" i="5" s="1"/>
  <c r="B39" i="5"/>
  <c r="K39" i="5" s="1"/>
  <c r="B8" i="5"/>
  <c r="J8" i="5" s="1"/>
  <c r="B72" i="5"/>
  <c r="J72" i="5" s="1"/>
  <c r="B55" i="5"/>
  <c r="J55" i="5" s="1"/>
  <c r="B109" i="5"/>
  <c r="J109" i="5" s="1"/>
  <c r="B45" i="5"/>
  <c r="K45" i="5" s="1"/>
  <c r="B60" i="5"/>
  <c r="J60" i="5" s="1"/>
  <c r="B80" i="5"/>
  <c r="K80" i="5" s="1"/>
  <c r="B106" i="5"/>
  <c r="K106" i="5" s="1"/>
  <c r="B114" i="5"/>
  <c r="K114" i="5" s="1"/>
  <c r="B12" i="5"/>
  <c r="J12" i="5" s="1"/>
  <c r="B62" i="5"/>
  <c r="J62" i="5" s="1"/>
  <c r="B13" i="5"/>
  <c r="J13" i="5" s="1"/>
  <c r="B92" i="5"/>
  <c r="J92" i="5" s="1"/>
  <c r="B18" i="5"/>
  <c r="K18" i="5" s="1"/>
  <c r="B20" i="5"/>
  <c r="K20" i="5" s="1"/>
  <c r="B21" i="5"/>
  <c r="K21" i="5" s="1"/>
  <c r="B85" i="5"/>
  <c r="J85" i="5" s="1"/>
  <c r="B14" i="5"/>
  <c r="K14" i="5" s="1"/>
  <c r="B27" i="5"/>
  <c r="K27" i="5" s="1"/>
  <c r="B61" i="5"/>
  <c r="K61" i="5" s="1"/>
  <c r="B123" i="5"/>
  <c r="K123" i="5" s="1"/>
  <c r="B108" i="5"/>
  <c r="J108" i="5" s="1"/>
  <c r="B98" i="5"/>
  <c r="K98" i="5" s="1"/>
  <c r="B36" i="5"/>
  <c r="J36" i="5" s="1"/>
  <c r="B22" i="5"/>
  <c r="K22" i="5" s="1"/>
  <c r="B15" i="5"/>
  <c r="K15" i="5" s="1"/>
  <c r="B104" i="5"/>
  <c r="J104" i="5" s="1"/>
  <c r="B91" i="5"/>
  <c r="K91" i="5" s="1"/>
  <c r="B84" i="5"/>
  <c r="J84" i="5" s="1"/>
  <c r="B81" i="5"/>
  <c r="J81" i="5" s="1"/>
  <c r="B37" i="5"/>
  <c r="K37" i="5" s="1"/>
  <c r="B83" i="5"/>
  <c r="K83" i="5" s="1"/>
  <c r="B10" i="5"/>
  <c r="K10" i="5" s="1"/>
  <c r="B50" i="5"/>
  <c r="K50" i="5" s="1"/>
  <c r="B52" i="5"/>
  <c r="K52" i="5" s="1"/>
  <c r="B33" i="5"/>
  <c r="K33" i="5" s="1"/>
  <c r="B77" i="5"/>
  <c r="K77" i="5" s="1"/>
  <c r="B42" i="5"/>
  <c r="K42" i="5" s="1"/>
  <c r="D110" i="5"/>
  <c r="D119" i="5"/>
  <c r="D90" i="5"/>
  <c r="D101" i="5"/>
  <c r="D103" i="5"/>
  <c r="D28" i="5"/>
  <c r="D3" i="5"/>
  <c r="D19" i="5"/>
  <c r="D69" i="5"/>
  <c r="D89" i="5"/>
  <c r="D4" i="5"/>
  <c r="D6" i="5"/>
  <c r="D40" i="5"/>
  <c r="D53" i="5"/>
  <c r="D67" i="5"/>
  <c r="D24" i="5"/>
  <c r="D41" i="5"/>
  <c r="D97" i="5"/>
  <c r="D79" i="5"/>
  <c r="D16" i="5"/>
  <c r="D117" i="5"/>
  <c r="E117" i="5" s="1"/>
  <c r="D47" i="5"/>
  <c r="D115" i="5"/>
  <c r="D74" i="5"/>
  <c r="D23" i="5"/>
  <c r="D93" i="5"/>
  <c r="D31" i="5"/>
  <c r="D34" i="5"/>
  <c r="D17" i="5"/>
  <c r="D99" i="5"/>
  <c r="D11" i="5"/>
  <c r="D58" i="5"/>
  <c r="D32" i="5"/>
  <c r="D54" i="5"/>
  <c r="D86" i="5"/>
  <c r="D38" i="5"/>
  <c r="D70" i="5"/>
  <c r="D29" i="5"/>
  <c r="D76" i="5"/>
  <c r="D57" i="5"/>
  <c r="D49" i="5"/>
  <c r="D48" i="5"/>
  <c r="D95" i="5"/>
  <c r="D107" i="5"/>
  <c r="D9" i="5"/>
  <c r="D73" i="5"/>
  <c r="D63" i="5"/>
  <c r="D2" i="5"/>
  <c r="D75" i="5"/>
  <c r="D51" i="5"/>
  <c r="D88" i="5"/>
  <c r="D94" i="5"/>
  <c r="D116" i="5"/>
  <c r="D44" i="5"/>
  <c r="D35" i="5"/>
  <c r="D82" i="5"/>
  <c r="D64" i="5"/>
  <c r="D66" i="5"/>
  <c r="D105" i="5"/>
  <c r="D46" i="5"/>
  <c r="D5" i="5"/>
  <c r="D96" i="5"/>
  <c r="D102" i="5"/>
  <c r="D26" i="5"/>
  <c r="D43" i="5"/>
  <c r="D30" i="5"/>
  <c r="D120" i="5"/>
  <c r="D100" i="5"/>
  <c r="D113" i="5"/>
  <c r="D112" i="5"/>
  <c r="D59" i="5"/>
  <c r="D71" i="5"/>
  <c r="D7" i="5"/>
  <c r="D78" i="5"/>
  <c r="D121" i="5"/>
  <c r="D118" i="5"/>
  <c r="D25" i="5"/>
  <c r="D65" i="5"/>
  <c r="D122" i="5"/>
  <c r="D68" i="5"/>
  <c r="D56" i="5"/>
  <c r="D111" i="5"/>
  <c r="D87" i="5"/>
  <c r="D39" i="5"/>
  <c r="D8" i="5"/>
  <c r="D72" i="5"/>
  <c r="D55" i="5"/>
  <c r="D109" i="5"/>
  <c r="D45" i="5"/>
  <c r="D60" i="5"/>
  <c r="D80" i="5"/>
  <c r="D106" i="5"/>
  <c r="D114" i="5"/>
  <c r="D12" i="5"/>
  <c r="D62" i="5"/>
  <c r="D13" i="5"/>
  <c r="D92" i="5"/>
  <c r="D18" i="5"/>
  <c r="D20" i="5"/>
  <c r="D21" i="5"/>
  <c r="D85" i="5"/>
  <c r="D14" i="5"/>
  <c r="D27" i="5"/>
  <c r="D61" i="5"/>
  <c r="D123" i="5"/>
  <c r="D108" i="5"/>
  <c r="D98" i="5"/>
  <c r="D36" i="5"/>
  <c r="D22" i="5"/>
  <c r="D15" i="5"/>
  <c r="D104" i="5"/>
  <c r="D91" i="5"/>
  <c r="D84" i="5"/>
  <c r="D81" i="5"/>
  <c r="D37" i="5"/>
  <c r="D83" i="5"/>
  <c r="D10" i="5"/>
  <c r="D50" i="5"/>
  <c r="D52" i="5"/>
  <c r="D33" i="5"/>
  <c r="D77" i="5"/>
  <c r="D42" i="5"/>
  <c r="G110" i="5"/>
  <c r="G119" i="5"/>
  <c r="G90" i="5"/>
  <c r="G101" i="5"/>
  <c r="G103" i="5"/>
  <c r="G28" i="5"/>
  <c r="G3" i="5"/>
  <c r="G19" i="5"/>
  <c r="G69" i="5"/>
  <c r="G89" i="5"/>
  <c r="G4" i="5"/>
  <c r="G6" i="5"/>
  <c r="G40" i="5"/>
  <c r="G53" i="5"/>
  <c r="G67" i="5"/>
  <c r="G24" i="5"/>
  <c r="G41" i="5"/>
  <c r="G97" i="5"/>
  <c r="G79" i="5"/>
  <c r="G16" i="5"/>
  <c r="G117" i="5"/>
  <c r="G47" i="5"/>
  <c r="G115" i="5"/>
  <c r="G74" i="5"/>
  <c r="G23" i="5"/>
  <c r="G93" i="5"/>
  <c r="G31" i="5"/>
  <c r="G34" i="5"/>
  <c r="G17" i="5"/>
  <c r="G99" i="5"/>
  <c r="G11" i="5"/>
  <c r="G58" i="5"/>
  <c r="G32" i="5"/>
  <c r="G54" i="5"/>
  <c r="G86" i="5"/>
  <c r="G38" i="5"/>
  <c r="G70" i="5"/>
  <c r="G29" i="5"/>
  <c r="G76" i="5"/>
  <c r="G57" i="5"/>
  <c r="G49" i="5"/>
  <c r="G48" i="5"/>
  <c r="G95" i="5"/>
  <c r="G107" i="5"/>
  <c r="G9" i="5"/>
  <c r="G73" i="5"/>
  <c r="G63" i="5"/>
  <c r="G2" i="5"/>
  <c r="G75" i="5"/>
  <c r="G51" i="5"/>
  <c r="G88" i="5"/>
  <c r="G94" i="5"/>
  <c r="G116" i="5"/>
  <c r="G44" i="5"/>
  <c r="G35" i="5"/>
  <c r="G82" i="5"/>
  <c r="G64" i="5"/>
  <c r="G66" i="5"/>
  <c r="G105" i="5"/>
  <c r="G46" i="5"/>
  <c r="G5" i="5"/>
  <c r="G96" i="5"/>
  <c r="G102" i="5"/>
  <c r="G26" i="5"/>
  <c r="G43" i="5"/>
  <c r="G30" i="5"/>
  <c r="G120" i="5"/>
  <c r="G100" i="5"/>
  <c r="G113" i="5"/>
  <c r="G112" i="5"/>
  <c r="G59" i="5"/>
  <c r="G71" i="5"/>
  <c r="G7" i="5"/>
  <c r="G78" i="5"/>
  <c r="G121" i="5"/>
  <c r="G118" i="5"/>
  <c r="G25" i="5"/>
  <c r="G65" i="5"/>
  <c r="G122" i="5"/>
  <c r="G68" i="5"/>
  <c r="G56" i="5"/>
  <c r="G111" i="5"/>
  <c r="G87" i="5"/>
  <c r="G39" i="5"/>
  <c r="G8" i="5"/>
  <c r="G72" i="5"/>
  <c r="G55" i="5"/>
  <c r="G109" i="5"/>
  <c r="G45" i="5"/>
  <c r="G60" i="5"/>
  <c r="G80" i="5"/>
  <c r="G106" i="5"/>
  <c r="G114" i="5"/>
  <c r="G12" i="5"/>
  <c r="G62" i="5"/>
  <c r="G13" i="5"/>
  <c r="G92" i="5"/>
  <c r="G18" i="5"/>
  <c r="G20" i="5"/>
  <c r="G21" i="5"/>
  <c r="G85" i="5"/>
  <c r="G14" i="5"/>
  <c r="G27" i="5"/>
  <c r="G61" i="5"/>
  <c r="G123" i="5"/>
  <c r="G108" i="5"/>
  <c r="G98" i="5"/>
  <c r="G36" i="5"/>
  <c r="G22" i="5"/>
  <c r="G15" i="5"/>
  <c r="G104" i="5"/>
  <c r="G91" i="5"/>
  <c r="G84" i="5"/>
  <c r="G81" i="5"/>
  <c r="G37" i="5"/>
  <c r="G83" i="5"/>
  <c r="G10" i="5"/>
  <c r="G50" i="5"/>
  <c r="G52" i="5"/>
  <c r="G33" i="5"/>
  <c r="G77" i="5"/>
  <c r="G42" i="5"/>
  <c r="H110" i="5"/>
  <c r="H119" i="5"/>
  <c r="H90" i="5"/>
  <c r="H101" i="5"/>
  <c r="H103" i="5"/>
  <c r="H28" i="5"/>
  <c r="H3" i="5"/>
  <c r="H19" i="5"/>
  <c r="H69" i="5"/>
  <c r="H89" i="5"/>
  <c r="H4" i="5"/>
  <c r="H6" i="5"/>
  <c r="H40" i="5"/>
  <c r="H53" i="5"/>
  <c r="H67" i="5"/>
  <c r="H24" i="5"/>
  <c r="H41" i="5"/>
  <c r="H97" i="5"/>
  <c r="H79" i="5"/>
  <c r="H16" i="5"/>
  <c r="H117" i="5"/>
  <c r="H47" i="5"/>
  <c r="H115" i="5"/>
  <c r="H74" i="5"/>
  <c r="H23" i="5"/>
  <c r="H93" i="5"/>
  <c r="H31" i="5"/>
  <c r="H34" i="5"/>
  <c r="H17" i="5"/>
  <c r="H99" i="5"/>
  <c r="H11" i="5"/>
  <c r="H58" i="5"/>
  <c r="H32" i="5"/>
  <c r="H54" i="5"/>
  <c r="H86" i="5"/>
  <c r="H38" i="5"/>
  <c r="H70" i="5"/>
  <c r="H29" i="5"/>
  <c r="H76" i="5"/>
  <c r="H57" i="5"/>
  <c r="H49" i="5"/>
  <c r="H48" i="5"/>
  <c r="H95" i="5"/>
  <c r="H107" i="5"/>
  <c r="H9" i="5"/>
  <c r="H73" i="5"/>
  <c r="H63" i="5"/>
  <c r="H2" i="5"/>
  <c r="H75" i="5"/>
  <c r="H51" i="5"/>
  <c r="H88" i="5"/>
  <c r="H94" i="5"/>
  <c r="H116" i="5"/>
  <c r="H44" i="5"/>
  <c r="H35" i="5"/>
  <c r="H82" i="5"/>
  <c r="H64" i="5"/>
  <c r="H66" i="5"/>
  <c r="H105" i="5"/>
  <c r="H46" i="5"/>
  <c r="H5" i="5"/>
  <c r="H96" i="5"/>
  <c r="H102" i="5"/>
  <c r="H26" i="5"/>
  <c r="H43" i="5"/>
  <c r="H30" i="5"/>
  <c r="H120" i="5"/>
  <c r="H100" i="5"/>
  <c r="H113" i="5"/>
  <c r="H112" i="5"/>
  <c r="H59" i="5"/>
  <c r="H71" i="5"/>
  <c r="H7" i="5"/>
  <c r="H78" i="5"/>
  <c r="H121" i="5"/>
  <c r="H118" i="5"/>
  <c r="H25" i="5"/>
  <c r="H65" i="5"/>
  <c r="H122" i="5"/>
  <c r="H68" i="5"/>
  <c r="H56" i="5"/>
  <c r="H111" i="5"/>
  <c r="H87" i="5"/>
  <c r="H39" i="5"/>
  <c r="H8" i="5"/>
  <c r="H72" i="5"/>
  <c r="H55" i="5"/>
  <c r="H109" i="5"/>
  <c r="H45" i="5"/>
  <c r="H60" i="5"/>
  <c r="H80" i="5"/>
  <c r="H106" i="5"/>
  <c r="H114" i="5"/>
  <c r="H12" i="5"/>
  <c r="H62" i="5"/>
  <c r="H13" i="5"/>
  <c r="H92" i="5"/>
  <c r="H18" i="5"/>
  <c r="H20" i="5"/>
  <c r="H21" i="5"/>
  <c r="H85" i="5"/>
  <c r="H14" i="5"/>
  <c r="H27" i="5"/>
  <c r="H61" i="5"/>
  <c r="H123" i="5"/>
  <c r="H108" i="5"/>
  <c r="H98" i="5"/>
  <c r="H36" i="5"/>
  <c r="H22" i="5"/>
  <c r="H15" i="5"/>
  <c r="H104" i="5"/>
  <c r="H91" i="5"/>
  <c r="H84" i="5"/>
  <c r="H81" i="5"/>
  <c r="H37" i="5"/>
  <c r="H83" i="5"/>
  <c r="H10" i="5"/>
  <c r="H50" i="5"/>
  <c r="H52" i="5"/>
  <c r="H33" i="5"/>
  <c r="H77" i="5"/>
  <c r="H42" i="5"/>
  <c r="R110" i="5"/>
  <c r="R119" i="5"/>
  <c r="R90" i="5"/>
  <c r="R101" i="5"/>
  <c r="R103" i="5"/>
  <c r="R28" i="5"/>
  <c r="R3" i="5"/>
  <c r="R19" i="5"/>
  <c r="R69" i="5"/>
  <c r="R89" i="5"/>
  <c r="R4" i="5"/>
  <c r="R6" i="5"/>
  <c r="R40" i="5"/>
  <c r="R53" i="5"/>
  <c r="R67" i="5"/>
  <c r="R24" i="5"/>
  <c r="R41" i="5"/>
  <c r="R97" i="5"/>
  <c r="R79" i="5"/>
  <c r="R16" i="5"/>
  <c r="R117" i="5"/>
  <c r="R47" i="5"/>
  <c r="R115" i="5"/>
  <c r="R74" i="5"/>
  <c r="R23" i="5"/>
  <c r="R93" i="5"/>
  <c r="R31" i="5"/>
  <c r="R34" i="5"/>
  <c r="R17" i="5"/>
  <c r="R99" i="5"/>
  <c r="R11" i="5"/>
  <c r="R58" i="5"/>
  <c r="R32" i="5"/>
  <c r="R54" i="5"/>
  <c r="R86" i="5"/>
  <c r="R38" i="5"/>
  <c r="R70" i="5"/>
  <c r="R29" i="5"/>
  <c r="R76" i="5"/>
  <c r="R57" i="5"/>
  <c r="R49" i="5"/>
  <c r="R48" i="5"/>
  <c r="R95" i="5"/>
  <c r="R107" i="5"/>
  <c r="R9" i="5"/>
  <c r="R73" i="5"/>
  <c r="R63" i="5"/>
  <c r="R2" i="5"/>
  <c r="R75" i="5"/>
  <c r="R51" i="5"/>
  <c r="R88" i="5"/>
  <c r="R94" i="5"/>
  <c r="R116" i="5"/>
  <c r="R44" i="5"/>
  <c r="R35" i="5"/>
  <c r="R82" i="5"/>
  <c r="R64" i="5"/>
  <c r="R66" i="5"/>
  <c r="R105" i="5"/>
  <c r="R46" i="5"/>
  <c r="R5" i="5"/>
  <c r="R96" i="5"/>
  <c r="R102" i="5"/>
  <c r="R26" i="5"/>
  <c r="R43" i="5"/>
  <c r="R30" i="5"/>
  <c r="R120" i="5"/>
  <c r="R100" i="5"/>
  <c r="R113" i="5"/>
  <c r="R112" i="5"/>
  <c r="R59" i="5"/>
  <c r="R71" i="5"/>
  <c r="R7" i="5"/>
  <c r="R78" i="5"/>
  <c r="R121" i="5"/>
  <c r="R118" i="5"/>
  <c r="R25" i="5"/>
  <c r="R65" i="5"/>
  <c r="R122" i="5"/>
  <c r="R68" i="5"/>
  <c r="R56" i="5"/>
  <c r="R111" i="5"/>
  <c r="R87" i="5"/>
  <c r="R39" i="5"/>
  <c r="R8" i="5"/>
  <c r="R72" i="5"/>
  <c r="R55" i="5"/>
  <c r="R109" i="5"/>
  <c r="R45" i="5"/>
  <c r="R60" i="5"/>
  <c r="R80" i="5"/>
  <c r="R106" i="5"/>
  <c r="R114" i="5"/>
  <c r="R12" i="5"/>
  <c r="R62" i="5"/>
  <c r="R13" i="5"/>
  <c r="R92" i="5"/>
  <c r="R18" i="5"/>
  <c r="R20" i="5"/>
  <c r="R21" i="5"/>
  <c r="R85" i="5"/>
  <c r="R14" i="5"/>
  <c r="R27" i="5"/>
  <c r="R61" i="5"/>
  <c r="R123" i="5"/>
  <c r="R108" i="5"/>
  <c r="R98" i="5"/>
  <c r="R36" i="5"/>
  <c r="R22" i="5"/>
  <c r="R15" i="5"/>
  <c r="R104" i="5"/>
  <c r="R91" i="5"/>
  <c r="R84" i="5"/>
  <c r="R81" i="5"/>
  <c r="R37" i="5"/>
  <c r="R83" i="5"/>
  <c r="R10" i="5"/>
  <c r="R50" i="5"/>
  <c r="R52" i="5"/>
  <c r="R33" i="5"/>
  <c r="R77" i="5"/>
  <c r="R42" i="5"/>
  <c r="P150" i="5" l="1"/>
  <c r="O154" i="5"/>
  <c r="N154" i="5"/>
  <c r="A154" i="5" s="1"/>
  <c r="F133" i="5"/>
  <c r="P151" i="5"/>
  <c r="O147" i="5"/>
  <c r="O150" i="5"/>
  <c r="N152" i="5"/>
  <c r="A152" i="5" s="1"/>
  <c r="P152" i="5"/>
  <c r="E16" i="5"/>
  <c r="E19" i="5"/>
  <c r="N147" i="5"/>
  <c r="A147" i="5" s="1"/>
  <c r="N151" i="5"/>
  <c r="A151" i="5" s="1"/>
  <c r="E11" i="5"/>
  <c r="E3" i="5"/>
  <c r="M141" i="5"/>
  <c r="P141" i="5" s="1"/>
  <c r="F141" i="5"/>
  <c r="P155" i="5"/>
  <c r="F131" i="5"/>
  <c r="N155" i="5"/>
  <c r="A155" i="5" s="1"/>
  <c r="M133" i="5"/>
  <c r="P133" i="5" s="1"/>
  <c r="F134" i="5"/>
  <c r="F142" i="5"/>
  <c r="F126" i="5"/>
  <c r="F143" i="5"/>
  <c r="F130" i="5"/>
  <c r="F136" i="5"/>
  <c r="M130" i="5"/>
  <c r="N130" i="5" s="1"/>
  <c r="A130" i="5" s="1"/>
  <c r="M142" i="5"/>
  <c r="O142" i="5" s="1"/>
  <c r="M143" i="5"/>
  <c r="O143" i="5" s="1"/>
  <c r="M146" i="5"/>
  <c r="O146" i="5" s="1"/>
  <c r="C136" i="5"/>
  <c r="F132" i="5"/>
  <c r="F146" i="5"/>
  <c r="M131" i="5"/>
  <c r="N131" i="5" s="1"/>
  <c r="A131" i="5" s="1"/>
  <c r="M134" i="5"/>
  <c r="O134" i="5" s="1"/>
  <c r="O132" i="5"/>
  <c r="M145" i="5"/>
  <c r="N145" i="5" s="1"/>
  <c r="A145" i="5" s="1"/>
  <c r="M138" i="5"/>
  <c r="N138" i="5" s="1"/>
  <c r="A138" i="5" s="1"/>
  <c r="F138" i="5"/>
  <c r="N132" i="5"/>
  <c r="A132" i="5" s="1"/>
  <c r="M125" i="5"/>
  <c r="P125" i="5" s="1"/>
  <c r="F125" i="5"/>
  <c r="F145" i="5"/>
  <c r="M135" i="5"/>
  <c r="N135" i="5" s="1"/>
  <c r="A135" i="5" s="1"/>
  <c r="C124" i="5"/>
  <c r="M124" i="5"/>
  <c r="P124" i="5" s="1"/>
  <c r="M126" i="5"/>
  <c r="O126" i="5" s="1"/>
  <c r="C132" i="5"/>
  <c r="F135" i="5"/>
  <c r="N140" i="5"/>
  <c r="A140" i="5" s="1"/>
  <c r="O140" i="5"/>
  <c r="E17" i="5"/>
  <c r="N129" i="5"/>
  <c r="A129" i="5" s="1"/>
  <c r="O129" i="5"/>
  <c r="E23" i="5"/>
  <c r="E33" i="5"/>
  <c r="E4" i="5"/>
  <c r="E10" i="5"/>
  <c r="E9" i="5"/>
  <c r="P139" i="5"/>
  <c r="N139" i="5"/>
  <c r="A139" i="5" s="1"/>
  <c r="O144" i="5"/>
  <c r="P144" i="5"/>
  <c r="N144" i="5"/>
  <c r="A144" i="5" s="1"/>
  <c r="O127" i="5"/>
  <c r="N127" i="5"/>
  <c r="A127" i="5" s="1"/>
  <c r="P127" i="5"/>
  <c r="N137" i="5"/>
  <c r="A137" i="5" s="1"/>
  <c r="P137" i="5"/>
  <c r="O137" i="5"/>
  <c r="P136" i="5"/>
  <c r="O136" i="5"/>
  <c r="N136" i="5"/>
  <c r="A136" i="5" s="1"/>
  <c r="P128" i="5"/>
  <c r="O128" i="5"/>
  <c r="N128" i="5"/>
  <c r="A128" i="5" s="1"/>
  <c r="J122" i="5"/>
  <c r="L122" i="5" s="1"/>
  <c r="E107" i="5"/>
  <c r="K121" i="5"/>
  <c r="E105" i="5"/>
  <c r="E95" i="5"/>
  <c r="J118" i="5"/>
  <c r="L118" i="5" s="1"/>
  <c r="K120" i="5"/>
  <c r="K116" i="5"/>
  <c r="J123" i="5"/>
  <c r="L123" i="5" s="1"/>
  <c r="J115" i="5"/>
  <c r="L115" i="5" s="1"/>
  <c r="J119" i="5"/>
  <c r="L119" i="5" s="1"/>
  <c r="K117" i="5"/>
  <c r="K51" i="5"/>
  <c r="K89" i="5"/>
  <c r="J22" i="5"/>
  <c r="L22" i="5" s="1"/>
  <c r="K49" i="5"/>
  <c r="K25" i="5"/>
  <c r="K48" i="5"/>
  <c r="K60" i="5"/>
  <c r="J7" i="5"/>
  <c r="L7" i="5" s="1"/>
  <c r="K53" i="5"/>
  <c r="K92" i="5"/>
  <c r="L92" i="5" s="1"/>
  <c r="K113" i="5"/>
  <c r="K29" i="5"/>
  <c r="K103" i="5"/>
  <c r="K99" i="5"/>
  <c r="L99" i="5" s="1"/>
  <c r="J66" i="5"/>
  <c r="L66" i="5" s="1"/>
  <c r="J70" i="5"/>
  <c r="L70" i="5" s="1"/>
  <c r="K36" i="5"/>
  <c r="J46" i="5"/>
  <c r="L46" i="5" s="1"/>
  <c r="J34" i="5"/>
  <c r="L34" i="5" s="1"/>
  <c r="K24" i="5"/>
  <c r="J6" i="5"/>
  <c r="L6" i="5" s="1"/>
  <c r="K40" i="5"/>
  <c r="L40" i="5" s="1"/>
  <c r="K16" i="5"/>
  <c r="J38" i="5"/>
  <c r="L38" i="5" s="1"/>
  <c r="J18" i="5"/>
  <c r="L18" i="5" s="1"/>
  <c r="K41" i="5"/>
  <c r="L41" i="5" s="1"/>
  <c r="K72" i="5"/>
  <c r="J50" i="5"/>
  <c r="L50" i="5" s="1"/>
  <c r="M50" i="5" s="1"/>
  <c r="K58" i="5"/>
  <c r="J94" i="5"/>
  <c r="L94" i="5" s="1"/>
  <c r="K13" i="5"/>
  <c r="K68" i="5"/>
  <c r="J91" i="5"/>
  <c r="L91" i="5" s="1"/>
  <c r="J2" i="5"/>
  <c r="L2" i="5" s="1"/>
  <c r="J107" i="5"/>
  <c r="L107" i="5" s="1"/>
  <c r="J30" i="5"/>
  <c r="L30" i="5" s="1"/>
  <c r="K84" i="5"/>
  <c r="J43" i="5"/>
  <c r="L43" i="5" s="1"/>
  <c r="K96" i="5"/>
  <c r="J71" i="5"/>
  <c r="L71" i="5" s="1"/>
  <c r="K28" i="5"/>
  <c r="K111" i="5"/>
  <c r="L111" i="5" s="1"/>
  <c r="K4" i="5"/>
  <c r="K105" i="5"/>
  <c r="K59" i="5"/>
  <c r="K11" i="5"/>
  <c r="K55" i="5"/>
  <c r="K95" i="5"/>
  <c r="J20" i="5"/>
  <c r="L20" i="5" s="1"/>
  <c r="K102" i="5"/>
  <c r="L102" i="5" s="1"/>
  <c r="K62" i="5"/>
  <c r="J52" i="5"/>
  <c r="L52" i="5" s="1"/>
  <c r="J80" i="5"/>
  <c r="L80" i="5" s="1"/>
  <c r="J37" i="5"/>
  <c r="L37" i="5" s="1"/>
  <c r="J88" i="5"/>
  <c r="L88" i="5" s="1"/>
  <c r="E69" i="5"/>
  <c r="E58" i="5"/>
  <c r="K79" i="5"/>
  <c r="L79" i="5" s="1"/>
  <c r="E52" i="5"/>
  <c r="K81" i="5"/>
  <c r="K8" i="5"/>
  <c r="J33" i="5"/>
  <c r="L33" i="5" s="1"/>
  <c r="J47" i="5"/>
  <c r="L47" i="5" s="1"/>
  <c r="K31" i="5"/>
  <c r="J26" i="5"/>
  <c r="L26" i="5" s="1"/>
  <c r="K87" i="5"/>
  <c r="L87" i="5" s="1"/>
  <c r="J93" i="5"/>
  <c r="L93" i="5" s="1"/>
  <c r="J77" i="5"/>
  <c r="L77" i="5" s="1"/>
  <c r="J90" i="5"/>
  <c r="L90" i="5" s="1"/>
  <c r="K104" i="5"/>
  <c r="J21" i="5"/>
  <c r="L21" i="5" s="1"/>
  <c r="K63" i="5"/>
  <c r="J14" i="5"/>
  <c r="L14" i="5" s="1"/>
  <c r="K69" i="5"/>
  <c r="L69" i="5" s="1"/>
  <c r="K76" i="5"/>
  <c r="K101" i="5"/>
  <c r="J98" i="5"/>
  <c r="L98" i="5" s="1"/>
  <c r="J74" i="5"/>
  <c r="L74" i="5" s="1"/>
  <c r="K108" i="5"/>
  <c r="J82" i="5"/>
  <c r="L82" i="5" s="1"/>
  <c r="J9" i="5"/>
  <c r="L9" i="5" s="1"/>
  <c r="K17" i="5"/>
  <c r="L17" i="5" s="1"/>
  <c r="K57" i="5"/>
  <c r="J42" i="5"/>
  <c r="L42" i="5" s="1"/>
  <c r="K32" i="5"/>
  <c r="J78" i="5"/>
  <c r="L78" i="5" s="1"/>
  <c r="J86" i="5"/>
  <c r="L86" i="5" s="1"/>
  <c r="J67" i="5"/>
  <c r="L67" i="5" s="1"/>
  <c r="J83" i="5"/>
  <c r="L83" i="5" s="1"/>
  <c r="J35" i="5"/>
  <c r="L35" i="5" s="1"/>
  <c r="K12" i="5"/>
  <c r="K5" i="5"/>
  <c r="J54" i="5"/>
  <c r="L54" i="5" s="1"/>
  <c r="K75" i="5"/>
  <c r="L75" i="5" s="1"/>
  <c r="J61" i="5"/>
  <c r="L61" i="5" s="1"/>
  <c r="J15" i="5"/>
  <c r="L15" i="5" s="1"/>
  <c r="J3" i="5"/>
  <c r="L3" i="5" s="1"/>
  <c r="J23" i="5"/>
  <c r="L23" i="5" s="1"/>
  <c r="J10" i="5"/>
  <c r="L10" i="5" s="1"/>
  <c r="K19" i="5"/>
  <c r="K97" i="5"/>
  <c r="K56" i="5"/>
  <c r="L56" i="5" s="1"/>
  <c r="J45" i="5"/>
  <c r="L45" i="5" s="1"/>
  <c r="J39" i="5"/>
  <c r="L39" i="5" s="1"/>
  <c r="K112" i="5"/>
  <c r="L112" i="5" s="1"/>
  <c r="J106" i="5"/>
  <c r="L106" i="5" s="1"/>
  <c r="K109" i="5"/>
  <c r="L109" i="5" s="1"/>
  <c r="J27" i="5"/>
  <c r="L27" i="5" s="1"/>
  <c r="J114" i="5"/>
  <c r="L114" i="5" s="1"/>
  <c r="K73" i="5"/>
  <c r="L73" i="5" s="1"/>
  <c r="K85" i="5"/>
  <c r="L85" i="5" s="1"/>
  <c r="K44" i="5"/>
  <c r="K64" i="5"/>
  <c r="K65" i="5"/>
  <c r="L65" i="5" s="1"/>
  <c r="J110" i="5"/>
  <c r="L110" i="5" s="1"/>
  <c r="K100" i="5"/>
  <c r="E53" i="5"/>
  <c r="L108" i="5"/>
  <c r="L12" i="5"/>
  <c r="L60" i="5"/>
  <c r="L96" i="5"/>
  <c r="L44" i="5"/>
  <c r="L51" i="5"/>
  <c r="L97" i="5"/>
  <c r="L53" i="5"/>
  <c r="L89" i="5"/>
  <c r="L28" i="5"/>
  <c r="E26" i="5"/>
  <c r="E38" i="5"/>
  <c r="E6" i="5"/>
  <c r="E57" i="5"/>
  <c r="E48" i="5"/>
  <c r="E89" i="5"/>
  <c r="E64" i="5"/>
  <c r="E70" i="5"/>
  <c r="E40" i="5"/>
  <c r="E66" i="5"/>
  <c r="E47" i="5"/>
  <c r="E96" i="5"/>
  <c r="E97" i="5"/>
  <c r="E102" i="5"/>
  <c r="E76" i="5"/>
  <c r="E79" i="5"/>
  <c r="E31" i="5"/>
  <c r="E34" i="5"/>
  <c r="E42" i="5"/>
  <c r="E50" i="5"/>
  <c r="E29" i="5"/>
  <c r="E54" i="5"/>
  <c r="E5" i="5"/>
  <c r="E49" i="5"/>
  <c r="E32" i="5"/>
  <c r="E86" i="5"/>
  <c r="E90" i="5"/>
  <c r="E46" i="5"/>
  <c r="E74" i="5"/>
  <c r="E24" i="5"/>
  <c r="E101" i="5"/>
  <c r="E115" i="5"/>
  <c r="E99" i="5"/>
  <c r="E93" i="5"/>
  <c r="E28" i="5"/>
  <c r="E103" i="5"/>
  <c r="E77" i="5"/>
  <c r="E41" i="5"/>
  <c r="L81" i="5"/>
  <c r="L48" i="5"/>
  <c r="L72" i="5"/>
  <c r="L5" i="5"/>
  <c r="L113" i="5"/>
  <c r="L103" i="5"/>
  <c r="E7" i="5"/>
  <c r="L84" i="5"/>
  <c r="L32" i="5"/>
  <c r="L25" i="5"/>
  <c r="E104" i="5"/>
  <c r="E62" i="5"/>
  <c r="E88" i="5"/>
  <c r="L64" i="5"/>
  <c r="L49" i="5"/>
  <c r="L8" i="5"/>
  <c r="L116" i="5"/>
  <c r="L117" i="5"/>
  <c r="E83" i="5"/>
  <c r="E91" i="5"/>
  <c r="E36" i="5"/>
  <c r="E61" i="5"/>
  <c r="E21" i="5"/>
  <c r="E13" i="5"/>
  <c r="E106" i="5"/>
  <c r="E109" i="5"/>
  <c r="E39" i="5"/>
  <c r="E68" i="5"/>
  <c r="E118" i="5"/>
  <c r="E71" i="5"/>
  <c r="E100" i="5"/>
  <c r="E82" i="5"/>
  <c r="E94" i="5"/>
  <c r="E2" i="5"/>
  <c r="E45" i="5"/>
  <c r="E8" i="5"/>
  <c r="E113" i="5"/>
  <c r="E37" i="5"/>
  <c r="E98" i="5"/>
  <c r="E27" i="5"/>
  <c r="E20" i="5"/>
  <c r="E80" i="5"/>
  <c r="E55" i="5"/>
  <c r="E87" i="5"/>
  <c r="E122" i="5"/>
  <c r="E121" i="5"/>
  <c r="E59" i="5"/>
  <c r="E120" i="5"/>
  <c r="E35" i="5"/>
  <c r="E63" i="5"/>
  <c r="E67" i="5"/>
  <c r="L36" i="5"/>
  <c r="L13" i="5"/>
  <c r="L68" i="5"/>
  <c r="L100" i="5"/>
  <c r="L57" i="5"/>
  <c r="L58" i="5"/>
  <c r="L16" i="5"/>
  <c r="L24" i="5"/>
  <c r="L19" i="5"/>
  <c r="L101" i="5"/>
  <c r="E81" i="5"/>
  <c r="E15" i="5"/>
  <c r="E108" i="5"/>
  <c r="E14" i="5"/>
  <c r="E18" i="5"/>
  <c r="L104" i="5"/>
  <c r="L62" i="5"/>
  <c r="L55" i="5"/>
  <c r="L121" i="5"/>
  <c r="L59" i="5"/>
  <c r="L120" i="5"/>
  <c r="L105" i="5"/>
  <c r="L63" i="5"/>
  <c r="L95" i="5"/>
  <c r="L76" i="5"/>
  <c r="L11" i="5"/>
  <c r="L31" i="5"/>
  <c r="L4" i="5"/>
  <c r="E84" i="5"/>
  <c r="E22" i="5"/>
  <c r="E123" i="5"/>
  <c r="E85" i="5"/>
  <c r="E92" i="5"/>
  <c r="E114" i="5"/>
  <c r="E56" i="5"/>
  <c r="E25" i="5"/>
  <c r="E43" i="5"/>
  <c r="E116" i="5"/>
  <c r="E75" i="5"/>
  <c r="E110" i="5"/>
  <c r="E12" i="5"/>
  <c r="E60" i="5"/>
  <c r="E72" i="5"/>
  <c r="E111" i="5"/>
  <c r="E65" i="5"/>
  <c r="E78" i="5"/>
  <c r="E112" i="5"/>
  <c r="E30" i="5"/>
  <c r="E44" i="5"/>
  <c r="E51" i="5"/>
  <c r="E73" i="5"/>
  <c r="E119" i="5"/>
  <c r="I12" i="8"/>
  <c r="H12" i="8"/>
  <c r="J12" i="8"/>
  <c r="G12" i="8"/>
  <c r="F12" i="8"/>
  <c r="E12" i="8"/>
  <c r="D12" i="8"/>
  <c r="C12" i="8"/>
  <c r="T11" i="8" l="1"/>
  <c r="U11" i="8" s="1"/>
  <c r="O141" i="5"/>
  <c r="O130" i="5"/>
  <c r="N133" i="5"/>
  <c r="A133" i="5" s="1"/>
  <c r="N141" i="5"/>
  <c r="A141" i="5" s="1"/>
  <c r="O133" i="5"/>
  <c r="P135" i="5"/>
  <c r="P143" i="5"/>
  <c r="N146" i="5"/>
  <c r="A146" i="5" s="1"/>
  <c r="P138" i="5"/>
  <c r="O138" i="5"/>
  <c r="P130" i="5"/>
  <c r="P131" i="5"/>
  <c r="N143" i="5"/>
  <c r="A143" i="5" s="1"/>
  <c r="O145" i="5"/>
  <c r="P145" i="5"/>
  <c r="P146" i="5"/>
  <c r="P142" i="5"/>
  <c r="N142" i="5"/>
  <c r="A142" i="5" s="1"/>
  <c r="O131" i="5"/>
  <c r="N134" i="5"/>
  <c r="A134" i="5" s="1"/>
  <c r="T15" i="8" s="1"/>
  <c r="U15" i="8" s="1"/>
  <c r="N125" i="5"/>
  <c r="A125" i="5" s="1"/>
  <c r="P134" i="5"/>
  <c r="O125" i="5"/>
  <c r="O124" i="5"/>
  <c r="N124" i="5"/>
  <c r="A124" i="5" s="1"/>
  <c r="O135" i="5"/>
  <c r="P126" i="5"/>
  <c r="N126" i="5"/>
  <c r="A126" i="5" s="1"/>
  <c r="L29" i="5"/>
  <c r="M29" i="5" s="1"/>
  <c r="F50" i="5"/>
  <c r="C50" i="5"/>
  <c r="M28" i="5"/>
  <c r="O28" i="5" s="1"/>
  <c r="M112" i="5"/>
  <c r="N112" i="5" s="1"/>
  <c r="A112" i="5" s="1"/>
  <c r="M14" i="5"/>
  <c r="N14" i="5" s="1"/>
  <c r="A14" i="5" s="1"/>
  <c r="M53" i="5"/>
  <c r="N53" i="5" s="1"/>
  <c r="A53" i="5" s="1"/>
  <c r="M73" i="5"/>
  <c r="N73" i="5" s="1"/>
  <c r="A73" i="5" s="1"/>
  <c r="M65" i="5"/>
  <c r="N65" i="5" s="1"/>
  <c r="A65" i="5" s="1"/>
  <c r="O50" i="5"/>
  <c r="M44" i="5"/>
  <c r="O44" i="5" s="1"/>
  <c r="M47" i="5"/>
  <c r="P47" i="5" s="1"/>
  <c r="M78" i="5"/>
  <c r="P78" i="5" s="1"/>
  <c r="M60" i="5"/>
  <c r="P60" i="5" s="1"/>
  <c r="M111" i="5"/>
  <c r="N111" i="5" s="1"/>
  <c r="A111" i="5" s="1"/>
  <c r="M51" i="5"/>
  <c r="N51" i="5" s="1"/>
  <c r="A51" i="5" s="1"/>
  <c r="M119" i="5"/>
  <c r="O119" i="5" s="1"/>
  <c r="M30" i="5"/>
  <c r="N30" i="5" s="1"/>
  <c r="A30" i="5" s="1"/>
  <c r="M54" i="5"/>
  <c r="O54" i="5" s="1"/>
  <c r="M97" i="5"/>
  <c r="P97" i="5" s="1"/>
  <c r="M81" i="5"/>
  <c r="N81" i="5" s="1"/>
  <c r="A81" i="5" s="1"/>
  <c r="M99" i="5"/>
  <c r="O99" i="5" s="1"/>
  <c r="M66" i="5"/>
  <c r="N66" i="5" s="1"/>
  <c r="A66" i="5" s="1"/>
  <c r="M108" i="5"/>
  <c r="N108" i="5" s="1"/>
  <c r="A108" i="5" s="1"/>
  <c r="M42" i="5"/>
  <c r="N42" i="5" s="1"/>
  <c r="A42" i="5" s="1"/>
  <c r="M89" i="5"/>
  <c r="P89" i="5" s="1"/>
  <c r="M93" i="5"/>
  <c r="P93" i="5" s="1"/>
  <c r="M96" i="5"/>
  <c r="O96" i="5" s="1"/>
  <c r="M12" i="5"/>
  <c r="N12" i="5" s="1"/>
  <c r="A12" i="5" s="1"/>
  <c r="M84" i="5"/>
  <c r="O84" i="5" s="1"/>
  <c r="M5" i="5"/>
  <c r="N5" i="5" s="1"/>
  <c r="A5" i="5" s="1"/>
  <c r="M92" i="5"/>
  <c r="N92" i="5" s="1"/>
  <c r="A92" i="5" s="1"/>
  <c r="M48" i="5"/>
  <c r="M45" i="5"/>
  <c r="P45" i="5" s="1"/>
  <c r="M77" i="5"/>
  <c r="N77" i="5" s="1"/>
  <c r="A77" i="5" s="1"/>
  <c r="M72" i="5"/>
  <c r="O72" i="5" s="1"/>
  <c r="M114" i="5"/>
  <c r="N114" i="5" s="1"/>
  <c r="A114" i="5" s="1"/>
  <c r="N50" i="5"/>
  <c r="A50" i="5" s="1"/>
  <c r="P50" i="5"/>
  <c r="M110" i="5"/>
  <c r="O110" i="5" s="1"/>
  <c r="M40" i="5"/>
  <c r="M41" i="5"/>
  <c r="M75" i="5"/>
  <c r="O75" i="5" s="1"/>
  <c r="M7" i="5"/>
  <c r="M70" i="5"/>
  <c r="M123" i="5"/>
  <c r="N123" i="5" s="1"/>
  <c r="A123" i="5" s="1"/>
  <c r="M116" i="5"/>
  <c r="O116" i="5" s="1"/>
  <c r="M64" i="5"/>
  <c r="M9" i="5"/>
  <c r="M113" i="5"/>
  <c r="M117" i="5"/>
  <c r="M8" i="5"/>
  <c r="M69" i="5"/>
  <c r="M32" i="5"/>
  <c r="M43" i="5"/>
  <c r="M56" i="5"/>
  <c r="O56" i="5" s="1"/>
  <c r="M85" i="5"/>
  <c r="O85" i="5" s="1"/>
  <c r="M10" i="5"/>
  <c r="M49" i="5"/>
  <c r="M103" i="5"/>
  <c r="M67" i="5"/>
  <c r="M11" i="5"/>
  <c r="M63" i="5"/>
  <c r="M102" i="5"/>
  <c r="M122" i="5"/>
  <c r="M62" i="5"/>
  <c r="M104" i="5"/>
  <c r="M90" i="5"/>
  <c r="M86" i="5"/>
  <c r="M88" i="5"/>
  <c r="M120" i="5"/>
  <c r="M87" i="5"/>
  <c r="M20" i="5"/>
  <c r="M37" i="5"/>
  <c r="M19" i="5"/>
  <c r="M74" i="5"/>
  <c r="M58" i="5"/>
  <c r="M57" i="5"/>
  <c r="M2" i="5"/>
  <c r="M82" i="5"/>
  <c r="M71" i="5"/>
  <c r="M68" i="5"/>
  <c r="M109" i="5"/>
  <c r="M13" i="5"/>
  <c r="M61" i="5"/>
  <c r="M91" i="5"/>
  <c r="M33" i="5"/>
  <c r="M79" i="5"/>
  <c r="M3" i="5"/>
  <c r="M115" i="5"/>
  <c r="M76" i="5"/>
  <c r="M35" i="5"/>
  <c r="M59" i="5"/>
  <c r="M55" i="5"/>
  <c r="M27" i="5"/>
  <c r="M52" i="5"/>
  <c r="M4" i="5"/>
  <c r="M31" i="5"/>
  <c r="M95" i="5"/>
  <c r="M105" i="5"/>
  <c r="M121" i="5"/>
  <c r="M80" i="5"/>
  <c r="M98" i="5"/>
  <c r="M101" i="5"/>
  <c r="M6" i="5"/>
  <c r="M34" i="5"/>
  <c r="M38" i="5"/>
  <c r="M107" i="5"/>
  <c r="M94" i="5"/>
  <c r="M46" i="5"/>
  <c r="M100" i="5"/>
  <c r="M118" i="5"/>
  <c r="M39" i="5"/>
  <c r="M106" i="5"/>
  <c r="M36" i="5"/>
  <c r="M83" i="5"/>
  <c r="C29" i="5" l="1"/>
  <c r="O5" i="5"/>
  <c r="P29" i="5"/>
  <c r="O29" i="5"/>
  <c r="P111" i="5"/>
  <c r="F29" i="5"/>
  <c r="O81" i="5"/>
  <c r="N78" i="5"/>
  <c r="A78" i="5" s="1"/>
  <c r="P5" i="5"/>
  <c r="O78" i="5"/>
  <c r="N54" i="5"/>
  <c r="A54" i="5" s="1"/>
  <c r="O45" i="5"/>
  <c r="N45" i="5"/>
  <c r="A45" i="5" s="1"/>
  <c r="O112" i="5"/>
  <c r="O114" i="5"/>
  <c r="O97" i="5"/>
  <c r="N47" i="5"/>
  <c r="A47" i="5" s="1"/>
  <c r="P77" i="5"/>
  <c r="P84" i="5"/>
  <c r="P114" i="5"/>
  <c r="O47" i="5"/>
  <c r="P112" i="5"/>
  <c r="P92" i="5"/>
  <c r="P81" i="5"/>
  <c r="P54" i="5"/>
  <c r="N29" i="5"/>
  <c r="A29" i="5" s="1"/>
  <c r="P96" i="5"/>
  <c r="N97" i="5"/>
  <c r="A97" i="5" s="1"/>
  <c r="O42" i="5"/>
  <c r="O111" i="5"/>
  <c r="O77" i="5"/>
  <c r="N96" i="5"/>
  <c r="A96" i="5" s="1"/>
  <c r="N84" i="5"/>
  <c r="A84" i="5" s="1"/>
  <c r="P42" i="5"/>
  <c r="O123" i="5"/>
  <c r="N89" i="5"/>
  <c r="A89" i="5" s="1"/>
  <c r="P44" i="5"/>
  <c r="O92" i="5"/>
  <c r="O89" i="5"/>
  <c r="N44" i="5"/>
  <c r="A44" i="5" s="1"/>
  <c r="N60" i="5"/>
  <c r="A60" i="5" s="1"/>
  <c r="P51" i="5"/>
  <c r="O51" i="5"/>
  <c r="P123" i="5"/>
  <c r="O60" i="5"/>
  <c r="P28" i="5"/>
  <c r="P66" i="5"/>
  <c r="P119" i="5"/>
  <c r="P12" i="5"/>
  <c r="O30" i="5"/>
  <c r="N93" i="5"/>
  <c r="A93" i="5" s="1"/>
  <c r="P99" i="5"/>
  <c r="O12" i="5"/>
  <c r="O93" i="5"/>
  <c r="P108" i="5"/>
  <c r="N119" i="5"/>
  <c r="A119" i="5" s="1"/>
  <c r="N99" i="5"/>
  <c r="A99" i="5" s="1"/>
  <c r="P30" i="5"/>
  <c r="O108" i="5"/>
  <c r="F83" i="5"/>
  <c r="C83" i="5"/>
  <c r="F33" i="5"/>
  <c r="C33" i="5"/>
  <c r="F61" i="5"/>
  <c r="C61" i="5"/>
  <c r="F109" i="5"/>
  <c r="C109" i="5"/>
  <c r="F71" i="5"/>
  <c r="C71" i="5"/>
  <c r="F82" i="5"/>
  <c r="C82" i="5"/>
  <c r="F57" i="5"/>
  <c r="C57" i="5"/>
  <c r="F74" i="5"/>
  <c r="C74" i="5"/>
  <c r="F19" i="5"/>
  <c r="C19" i="5"/>
  <c r="F10" i="5"/>
  <c r="C10" i="5"/>
  <c r="F56" i="5"/>
  <c r="C56" i="5"/>
  <c r="F32" i="5"/>
  <c r="C32" i="5"/>
  <c r="F117" i="5"/>
  <c r="C117" i="5"/>
  <c r="F7" i="5"/>
  <c r="C7" i="5"/>
  <c r="F41" i="5"/>
  <c r="C41" i="5"/>
  <c r="F45" i="5"/>
  <c r="C45" i="5"/>
  <c r="F12" i="5"/>
  <c r="C12" i="5"/>
  <c r="F119" i="5"/>
  <c r="C119" i="5"/>
  <c r="F47" i="5"/>
  <c r="C47" i="5"/>
  <c r="O66" i="5"/>
  <c r="F36" i="5"/>
  <c r="C36" i="5"/>
  <c r="F106" i="5"/>
  <c r="C106" i="5"/>
  <c r="F118" i="5"/>
  <c r="C118" i="5"/>
  <c r="F46" i="5"/>
  <c r="C46" i="5"/>
  <c r="F107" i="5"/>
  <c r="C107" i="5"/>
  <c r="F34" i="5"/>
  <c r="C34" i="5"/>
  <c r="F6" i="5"/>
  <c r="C6" i="5"/>
  <c r="F98" i="5"/>
  <c r="C98" i="5"/>
  <c r="F121" i="5"/>
  <c r="C121" i="5"/>
  <c r="F95" i="5"/>
  <c r="C95" i="5"/>
  <c r="F4" i="5"/>
  <c r="C4" i="5"/>
  <c r="F27" i="5"/>
  <c r="C27" i="5"/>
  <c r="F59" i="5"/>
  <c r="C59" i="5"/>
  <c r="F76" i="5"/>
  <c r="C76" i="5"/>
  <c r="F3" i="5"/>
  <c r="C3" i="5"/>
  <c r="F20" i="5"/>
  <c r="C20" i="5"/>
  <c r="F120" i="5"/>
  <c r="C120" i="5"/>
  <c r="F86" i="5"/>
  <c r="C86" i="5"/>
  <c r="F104" i="5"/>
  <c r="C104" i="5"/>
  <c r="F122" i="5"/>
  <c r="C122" i="5"/>
  <c r="F63" i="5"/>
  <c r="C63" i="5"/>
  <c r="F67" i="5"/>
  <c r="C67" i="5"/>
  <c r="F8" i="5"/>
  <c r="C8" i="5"/>
  <c r="F64" i="5"/>
  <c r="C64" i="5"/>
  <c r="F123" i="5"/>
  <c r="C123" i="5"/>
  <c r="F92" i="5"/>
  <c r="C92" i="5"/>
  <c r="F93" i="5"/>
  <c r="C93" i="5"/>
  <c r="F108" i="5"/>
  <c r="C108" i="5"/>
  <c r="F99" i="5"/>
  <c r="C99" i="5"/>
  <c r="F97" i="5"/>
  <c r="C97" i="5"/>
  <c r="F51" i="5"/>
  <c r="C51" i="5"/>
  <c r="F60" i="5"/>
  <c r="C60" i="5"/>
  <c r="F73" i="5"/>
  <c r="C73" i="5"/>
  <c r="F91" i="5"/>
  <c r="C91" i="5"/>
  <c r="F13" i="5"/>
  <c r="C13" i="5"/>
  <c r="F68" i="5"/>
  <c r="C68" i="5"/>
  <c r="F2" i="5"/>
  <c r="C2" i="5"/>
  <c r="F58" i="5"/>
  <c r="C58" i="5"/>
  <c r="F103" i="5"/>
  <c r="C103" i="5"/>
  <c r="F49" i="5"/>
  <c r="C49" i="5"/>
  <c r="F85" i="5"/>
  <c r="C85" i="5"/>
  <c r="F43" i="5"/>
  <c r="C43" i="5"/>
  <c r="F113" i="5"/>
  <c r="C113" i="5"/>
  <c r="F70" i="5"/>
  <c r="C70" i="5"/>
  <c r="F75" i="5"/>
  <c r="C75" i="5"/>
  <c r="F40" i="5"/>
  <c r="C40" i="5"/>
  <c r="F110" i="5"/>
  <c r="C110" i="5"/>
  <c r="F77" i="5"/>
  <c r="C77" i="5"/>
  <c r="F48" i="5"/>
  <c r="C48" i="5"/>
  <c r="F5" i="5"/>
  <c r="C5" i="5"/>
  <c r="F96" i="5"/>
  <c r="C96" i="5"/>
  <c r="F89" i="5"/>
  <c r="C89" i="5"/>
  <c r="F66" i="5"/>
  <c r="C66" i="5"/>
  <c r="F54" i="5"/>
  <c r="C54" i="5"/>
  <c r="F111" i="5"/>
  <c r="C111" i="5"/>
  <c r="F14" i="5"/>
  <c r="C14" i="5"/>
  <c r="F39" i="5"/>
  <c r="C39" i="5"/>
  <c r="F100" i="5"/>
  <c r="C100" i="5"/>
  <c r="F94" i="5"/>
  <c r="C94" i="5"/>
  <c r="F38" i="5"/>
  <c r="C38" i="5"/>
  <c r="F101" i="5"/>
  <c r="C101" i="5"/>
  <c r="F80" i="5"/>
  <c r="C80" i="5"/>
  <c r="F105" i="5"/>
  <c r="C105" i="5"/>
  <c r="F31" i="5"/>
  <c r="C31" i="5"/>
  <c r="F52" i="5"/>
  <c r="C52" i="5"/>
  <c r="F55" i="5"/>
  <c r="C55" i="5"/>
  <c r="F35" i="5"/>
  <c r="C35" i="5"/>
  <c r="F115" i="5"/>
  <c r="C115" i="5"/>
  <c r="F79" i="5"/>
  <c r="C79" i="5"/>
  <c r="F37" i="5"/>
  <c r="C37" i="5"/>
  <c r="F87" i="5"/>
  <c r="C87" i="5"/>
  <c r="F88" i="5"/>
  <c r="C88" i="5"/>
  <c r="F90" i="5"/>
  <c r="C90" i="5"/>
  <c r="F62" i="5"/>
  <c r="C62" i="5"/>
  <c r="F102" i="5"/>
  <c r="C102" i="5"/>
  <c r="F11" i="5"/>
  <c r="C11" i="5"/>
  <c r="F69" i="5"/>
  <c r="C69" i="5"/>
  <c r="F9" i="5"/>
  <c r="C9" i="5"/>
  <c r="F116" i="5"/>
  <c r="C116" i="5"/>
  <c r="F114" i="5"/>
  <c r="C114" i="5"/>
  <c r="F72" i="5"/>
  <c r="C72" i="5"/>
  <c r="F84" i="5"/>
  <c r="C84" i="5"/>
  <c r="F42" i="5"/>
  <c r="C42" i="5"/>
  <c r="F81" i="5"/>
  <c r="C81" i="5"/>
  <c r="F30" i="5"/>
  <c r="C30" i="5"/>
  <c r="F78" i="5"/>
  <c r="C78" i="5"/>
  <c r="F44" i="5"/>
  <c r="C44" i="5"/>
  <c r="F65" i="5"/>
  <c r="C65" i="5"/>
  <c r="F53" i="5"/>
  <c r="C53" i="5"/>
  <c r="F112" i="5"/>
  <c r="C112" i="5"/>
  <c r="F28" i="5"/>
  <c r="C28" i="5"/>
  <c r="O14" i="5"/>
  <c r="O73" i="5"/>
  <c r="P14" i="5"/>
  <c r="O53" i="5"/>
  <c r="P53" i="5"/>
  <c r="N28" i="5"/>
  <c r="A28" i="5" s="1"/>
  <c r="P65" i="5"/>
  <c r="O65" i="5"/>
  <c r="P73" i="5"/>
  <c r="N48" i="5"/>
  <c r="A48" i="5" s="1"/>
  <c r="O48" i="5"/>
  <c r="P48" i="5"/>
  <c r="P72" i="5"/>
  <c r="N72" i="5"/>
  <c r="A72" i="5" s="1"/>
  <c r="P85" i="5"/>
  <c r="N85" i="5"/>
  <c r="A85" i="5" s="1"/>
  <c r="N43" i="5"/>
  <c r="A43" i="5" s="1"/>
  <c r="P43" i="5"/>
  <c r="O113" i="5"/>
  <c r="P113" i="5"/>
  <c r="N113" i="5"/>
  <c r="A113" i="5" s="1"/>
  <c r="O10" i="5"/>
  <c r="N10" i="5"/>
  <c r="A10" i="5" s="1"/>
  <c r="P10" i="5"/>
  <c r="O43" i="5"/>
  <c r="O69" i="5"/>
  <c r="P69" i="5"/>
  <c r="N69" i="5"/>
  <c r="A69" i="5" s="1"/>
  <c r="O9" i="5"/>
  <c r="N9" i="5"/>
  <c r="A9" i="5" s="1"/>
  <c r="P9" i="5"/>
  <c r="P116" i="5"/>
  <c r="N116" i="5"/>
  <c r="A116" i="5" s="1"/>
  <c r="N7" i="5"/>
  <c r="A7" i="5" s="1"/>
  <c r="P7" i="5"/>
  <c r="O7" i="5"/>
  <c r="O41" i="5"/>
  <c r="N41" i="5"/>
  <c r="A41" i="5" s="1"/>
  <c r="P41" i="5"/>
  <c r="N56" i="5"/>
  <c r="A56" i="5" s="1"/>
  <c r="P56" i="5"/>
  <c r="O32" i="5"/>
  <c r="P32" i="5"/>
  <c r="N32" i="5"/>
  <c r="A32" i="5" s="1"/>
  <c r="O117" i="5"/>
  <c r="P117" i="5"/>
  <c r="N117" i="5"/>
  <c r="A117" i="5" s="1"/>
  <c r="O103" i="5"/>
  <c r="N103" i="5"/>
  <c r="A103" i="5" s="1"/>
  <c r="P103" i="5"/>
  <c r="O49" i="5"/>
  <c r="P49" i="5"/>
  <c r="N49" i="5"/>
  <c r="A49" i="5" s="1"/>
  <c r="O8" i="5"/>
  <c r="P8" i="5"/>
  <c r="N8" i="5"/>
  <c r="A8" i="5" s="1"/>
  <c r="O64" i="5"/>
  <c r="P64" i="5"/>
  <c r="N64" i="5"/>
  <c r="A64" i="5" s="1"/>
  <c r="O70" i="5"/>
  <c r="N70" i="5"/>
  <c r="A70" i="5" s="1"/>
  <c r="P70" i="5"/>
  <c r="N75" i="5"/>
  <c r="A75" i="5" s="1"/>
  <c r="P75" i="5"/>
  <c r="O40" i="5"/>
  <c r="P40" i="5"/>
  <c r="N40" i="5"/>
  <c r="A40" i="5" s="1"/>
  <c r="N110" i="5"/>
  <c r="A110" i="5" s="1"/>
  <c r="P110" i="5"/>
  <c r="N83" i="5"/>
  <c r="A83" i="5" s="1"/>
  <c r="O83" i="5"/>
  <c r="P83" i="5"/>
  <c r="N39" i="5"/>
  <c r="A39" i="5" s="1"/>
  <c r="O39" i="5"/>
  <c r="P39" i="5"/>
  <c r="N100" i="5"/>
  <c r="A100" i="5" s="1"/>
  <c r="O100" i="5"/>
  <c r="P100" i="5"/>
  <c r="N94" i="5"/>
  <c r="A94" i="5" s="1"/>
  <c r="O94" i="5"/>
  <c r="P94" i="5"/>
  <c r="N38" i="5"/>
  <c r="A38" i="5" s="1"/>
  <c r="O38" i="5"/>
  <c r="P38" i="5"/>
  <c r="N101" i="5"/>
  <c r="A101" i="5" s="1"/>
  <c r="O101" i="5"/>
  <c r="P101" i="5"/>
  <c r="N80" i="5"/>
  <c r="A80" i="5" s="1"/>
  <c r="O80" i="5"/>
  <c r="P80" i="5"/>
  <c r="N105" i="5"/>
  <c r="A105" i="5" s="1"/>
  <c r="P105" i="5"/>
  <c r="O105" i="5"/>
  <c r="N31" i="5"/>
  <c r="A31" i="5" s="1"/>
  <c r="P31" i="5"/>
  <c r="O31" i="5"/>
  <c r="N52" i="5"/>
  <c r="A52" i="5" s="1"/>
  <c r="O52" i="5"/>
  <c r="P52" i="5"/>
  <c r="N55" i="5"/>
  <c r="A55" i="5" s="1"/>
  <c r="O55" i="5"/>
  <c r="P55" i="5"/>
  <c r="N35" i="5"/>
  <c r="A35" i="5" s="1"/>
  <c r="P35" i="5"/>
  <c r="O35" i="5"/>
  <c r="N115" i="5"/>
  <c r="A115" i="5" s="1"/>
  <c r="P115" i="5"/>
  <c r="O115" i="5"/>
  <c r="N79" i="5"/>
  <c r="A79" i="5" s="1"/>
  <c r="P79" i="5"/>
  <c r="O79" i="5"/>
  <c r="N37" i="5"/>
  <c r="A37" i="5" s="1"/>
  <c r="P37" i="5"/>
  <c r="O37" i="5"/>
  <c r="N87" i="5"/>
  <c r="A87" i="5" s="1"/>
  <c r="P87" i="5"/>
  <c r="O87" i="5"/>
  <c r="N88" i="5"/>
  <c r="A88" i="5" s="1"/>
  <c r="P88" i="5"/>
  <c r="O88" i="5"/>
  <c r="N90" i="5"/>
  <c r="A90" i="5" s="1"/>
  <c r="P90" i="5"/>
  <c r="O90" i="5"/>
  <c r="N62" i="5"/>
  <c r="A62" i="5" s="1"/>
  <c r="P62" i="5"/>
  <c r="O62" i="5"/>
  <c r="N102" i="5"/>
  <c r="A102" i="5" s="1"/>
  <c r="P102" i="5"/>
  <c r="O102" i="5"/>
  <c r="N11" i="5"/>
  <c r="A11" i="5" s="1"/>
  <c r="P11" i="5"/>
  <c r="O11" i="5"/>
  <c r="N91" i="5"/>
  <c r="A91" i="5" s="1"/>
  <c r="O91" i="5"/>
  <c r="P91" i="5"/>
  <c r="N13" i="5"/>
  <c r="A13" i="5" s="1"/>
  <c r="O13" i="5"/>
  <c r="P13" i="5"/>
  <c r="N68" i="5"/>
  <c r="A68" i="5" s="1"/>
  <c r="P68" i="5"/>
  <c r="O68" i="5"/>
  <c r="N2" i="5"/>
  <c r="A2" i="5" s="1"/>
  <c r="P2" i="5"/>
  <c r="O2" i="5"/>
  <c r="N58" i="5"/>
  <c r="A58" i="5" s="1"/>
  <c r="P58" i="5"/>
  <c r="O58" i="5"/>
  <c r="N36" i="5"/>
  <c r="A36" i="5" s="1"/>
  <c r="O36" i="5"/>
  <c r="P36" i="5"/>
  <c r="N118" i="5"/>
  <c r="A118" i="5" s="1"/>
  <c r="P118" i="5"/>
  <c r="O118" i="5"/>
  <c r="N46" i="5"/>
  <c r="A46" i="5" s="1"/>
  <c r="P46" i="5"/>
  <c r="O46" i="5"/>
  <c r="N107" i="5"/>
  <c r="A107" i="5" s="1"/>
  <c r="P107" i="5"/>
  <c r="O107" i="5"/>
  <c r="N34" i="5"/>
  <c r="A34" i="5" s="1"/>
  <c r="P34" i="5"/>
  <c r="O34" i="5"/>
  <c r="N6" i="5"/>
  <c r="A6" i="5" s="1"/>
  <c r="P6" i="5"/>
  <c r="O6" i="5"/>
  <c r="N98" i="5"/>
  <c r="A98" i="5" s="1"/>
  <c r="P98" i="5"/>
  <c r="O98" i="5"/>
  <c r="N121" i="5"/>
  <c r="A121" i="5" s="1"/>
  <c r="P121" i="5"/>
  <c r="O121" i="5"/>
  <c r="N95" i="5"/>
  <c r="A95" i="5" s="1"/>
  <c r="P95" i="5"/>
  <c r="O95" i="5"/>
  <c r="N4" i="5"/>
  <c r="A4" i="5" s="1"/>
  <c r="P4" i="5"/>
  <c r="O4" i="5"/>
  <c r="N27" i="5"/>
  <c r="A27" i="5" s="1"/>
  <c r="P27" i="5"/>
  <c r="O27" i="5"/>
  <c r="N59" i="5"/>
  <c r="A59" i="5" s="1"/>
  <c r="P59" i="5"/>
  <c r="O59" i="5"/>
  <c r="N76" i="5"/>
  <c r="A76" i="5" s="1"/>
  <c r="P76" i="5"/>
  <c r="O76" i="5"/>
  <c r="N3" i="5"/>
  <c r="A3" i="5" s="1"/>
  <c r="P3" i="5"/>
  <c r="O3" i="5"/>
  <c r="N20" i="5"/>
  <c r="A20" i="5" s="1"/>
  <c r="P20" i="5"/>
  <c r="O20" i="5"/>
  <c r="N120" i="5"/>
  <c r="A120" i="5" s="1"/>
  <c r="P120" i="5"/>
  <c r="O120" i="5"/>
  <c r="N86" i="5"/>
  <c r="A86" i="5" s="1"/>
  <c r="P86" i="5"/>
  <c r="O86" i="5"/>
  <c r="N104" i="5"/>
  <c r="A104" i="5" s="1"/>
  <c r="O104" i="5"/>
  <c r="P104" i="5"/>
  <c r="N122" i="5"/>
  <c r="A122" i="5" s="1"/>
  <c r="P122" i="5"/>
  <c r="O122" i="5"/>
  <c r="N63" i="5"/>
  <c r="A63" i="5" s="1"/>
  <c r="P63" i="5"/>
  <c r="O63" i="5"/>
  <c r="N67" i="5"/>
  <c r="A67" i="5" s="1"/>
  <c r="P67" i="5"/>
  <c r="O67" i="5"/>
  <c r="N106" i="5"/>
  <c r="A106" i="5" s="1"/>
  <c r="O106" i="5"/>
  <c r="P106" i="5"/>
  <c r="N33" i="5"/>
  <c r="A33" i="5" s="1"/>
  <c r="O33" i="5"/>
  <c r="P33" i="5"/>
  <c r="N61" i="5"/>
  <c r="A61" i="5" s="1"/>
  <c r="O61" i="5"/>
  <c r="P61" i="5"/>
  <c r="N109" i="5"/>
  <c r="A109" i="5" s="1"/>
  <c r="O109" i="5"/>
  <c r="P109" i="5"/>
  <c r="N71" i="5"/>
  <c r="A71" i="5" s="1"/>
  <c r="P71" i="5"/>
  <c r="O71" i="5"/>
  <c r="N82" i="5"/>
  <c r="A82" i="5" s="1"/>
  <c r="O82" i="5"/>
  <c r="P82" i="5"/>
  <c r="N57" i="5"/>
  <c r="A57" i="5" s="1"/>
  <c r="O57" i="5"/>
  <c r="P57" i="5"/>
  <c r="N74" i="5"/>
  <c r="A74" i="5" s="1"/>
  <c r="P74" i="5"/>
  <c r="O74" i="5"/>
  <c r="N19" i="5"/>
  <c r="A19" i="5" s="1"/>
  <c r="O19" i="5"/>
  <c r="P19" i="5"/>
  <c r="Q90" i="5" l="1"/>
  <c r="Q101" i="5"/>
  <c r="Q83" i="5"/>
  <c r="Q77" i="5"/>
  <c r="Q123" i="5"/>
  <c r="Q45" i="5"/>
  <c r="Q7" i="5"/>
  <c r="Q64" i="5"/>
  <c r="Q49" i="5"/>
  <c r="Q23" i="5"/>
  <c r="Q69" i="5"/>
  <c r="Q91" i="5"/>
  <c r="Q13" i="5"/>
  <c r="Q68" i="5"/>
  <c r="Q26" i="5"/>
  <c r="Q2" i="5"/>
  <c r="Q58" i="5"/>
  <c r="Q24" i="5"/>
  <c r="Q37" i="5"/>
  <c r="Q20" i="5"/>
  <c r="Q87" i="5"/>
  <c r="Q120" i="5"/>
  <c r="Q88" i="5"/>
  <c r="Q86" i="5"/>
  <c r="Q79" i="5"/>
  <c r="Q42" i="5"/>
  <c r="Q108" i="5"/>
  <c r="Q60" i="5"/>
  <c r="Q78" i="5"/>
  <c r="Q66" i="5"/>
  <c r="Q48" i="5"/>
  <c r="Q93" i="5"/>
  <c r="Q89" i="5"/>
  <c r="Q114" i="5"/>
  <c r="Q5" i="5"/>
  <c r="Q40" i="5"/>
  <c r="Q100" i="5"/>
  <c r="Q16" i="5"/>
  <c r="Q59" i="5"/>
  <c r="Q76" i="5"/>
  <c r="Q15" i="5"/>
  <c r="Q65" i="5"/>
  <c r="Q99" i="5"/>
  <c r="Q10" i="5"/>
  <c r="Q85" i="5"/>
  <c r="Q8" i="5"/>
  <c r="Q113" i="5"/>
  <c r="Q116" i="5"/>
  <c r="Q70" i="5"/>
  <c r="Q117" i="5"/>
  <c r="Q103" i="5"/>
  <c r="Q36" i="5"/>
  <c r="Q106" i="5"/>
  <c r="Q118" i="5"/>
  <c r="Q46" i="5"/>
  <c r="Q107" i="5"/>
  <c r="Q34" i="5"/>
  <c r="Q6" i="5"/>
  <c r="Q104" i="5"/>
  <c r="Q62" i="5"/>
  <c r="Q122" i="5"/>
  <c r="Q102" i="5"/>
  <c r="T14" i="8" s="1"/>
  <c r="U14" i="8" s="1"/>
  <c r="Q63" i="5"/>
  <c r="Q11" i="5"/>
  <c r="Q67" i="5"/>
  <c r="Q50" i="5"/>
  <c r="Q14" i="5"/>
  <c r="Q72" i="5"/>
  <c r="Q112" i="5"/>
  <c r="Q44" i="5"/>
  <c r="Q29" i="5"/>
  <c r="Q47" i="5"/>
  <c r="Q28" i="5"/>
  <c r="Q22" i="5"/>
  <c r="Q9" i="5"/>
  <c r="Q21" i="5"/>
  <c r="Q94" i="5"/>
  <c r="Q52" i="5"/>
  <c r="Q27" i="5"/>
  <c r="Q35" i="5"/>
  <c r="Q3" i="5"/>
  <c r="Q96" i="5"/>
  <c r="Q53" i="5"/>
  <c r="Q84" i="5"/>
  <c r="Q92" i="5"/>
  <c r="Q56" i="5"/>
  <c r="Q43" i="5"/>
  <c r="Y11" i="8" s="1"/>
  <c r="Z11" i="8" s="1"/>
  <c r="Q75" i="5"/>
  <c r="Q32" i="5"/>
  <c r="Q41" i="5"/>
  <c r="Q110" i="5"/>
  <c r="Q61" i="5"/>
  <c r="Q109" i="5"/>
  <c r="Q71" i="5"/>
  <c r="Q82" i="5"/>
  <c r="Q57" i="5"/>
  <c r="Q74" i="5"/>
  <c r="Q19" i="5"/>
  <c r="Q98" i="5"/>
  <c r="Q80" i="5"/>
  <c r="Q121" i="5"/>
  <c r="Q105" i="5"/>
  <c r="Q95" i="5"/>
  <c r="Q31" i="5"/>
  <c r="Q4" i="5"/>
  <c r="Q81" i="5"/>
  <c r="Q18" i="5"/>
  <c r="Q111" i="5"/>
  <c r="Q30" i="5"/>
  <c r="Q51" i="5"/>
  <c r="Q54" i="5"/>
  <c r="Q97" i="5"/>
  <c r="Q119" i="5"/>
  <c r="Q25" i="5"/>
  <c r="Q17" i="5"/>
  <c r="Q33" i="5"/>
  <c r="Q39" i="5"/>
  <c r="Q38" i="5"/>
  <c r="Q55" i="5"/>
  <c r="Q115" i="5"/>
  <c r="Q12" i="5"/>
  <c r="Q73" i="5"/>
  <c r="T16" i="8" l="1"/>
  <c r="U16" i="8" s="1"/>
  <c r="Y15" i="8"/>
  <c r="Z15" i="8" s="1"/>
  <c r="T18" i="8"/>
  <c r="U18" i="8" s="1"/>
  <c r="Y16" i="8"/>
  <c r="Z16" i="8" s="1"/>
  <c r="T12" i="8"/>
  <c r="U12" i="8" s="1"/>
  <c r="F23" i="5"/>
  <c r="C23" i="5"/>
  <c r="F16" i="5"/>
  <c r="C16" i="5"/>
  <c r="F21" i="5"/>
  <c r="C21" i="5"/>
  <c r="F25" i="5"/>
  <c r="C25" i="5"/>
  <c r="F18" i="5"/>
  <c r="C18" i="5"/>
  <c r="F17" i="5"/>
  <c r="C17" i="5"/>
  <c r="C22" i="5"/>
  <c r="F22" i="5"/>
  <c r="F24" i="5"/>
  <c r="C24" i="5"/>
  <c r="M25" i="5"/>
  <c r="N25" i="5" s="1"/>
  <c r="A25" i="5" s="1"/>
  <c r="M23" i="5"/>
  <c r="P23" i="5" s="1"/>
  <c r="F26" i="5"/>
  <c r="C26" i="5"/>
  <c r="C15" i="5"/>
  <c r="F15" i="5"/>
  <c r="M17" i="5"/>
  <c r="P17" i="5" s="1"/>
  <c r="M18" i="5"/>
  <c r="P18" i="5" s="1"/>
  <c r="M22" i="5"/>
  <c r="M26" i="5"/>
  <c r="O26" i="5" s="1"/>
  <c r="M16" i="5"/>
  <c r="P16" i="5" s="1"/>
  <c r="M15" i="5"/>
  <c r="O15" i="5" s="1"/>
  <c r="M24" i="5"/>
  <c r="O24" i="5" s="1"/>
  <c r="M21" i="5"/>
  <c r="P21" i="5" s="1"/>
  <c r="N15" i="5" l="1"/>
  <c r="A15" i="5" s="1"/>
  <c r="O17" i="5"/>
  <c r="N26" i="5"/>
  <c r="A26" i="5" s="1"/>
  <c r="Y14" i="8" s="1"/>
  <c r="Z14" i="8" s="1"/>
  <c r="N21" i="5"/>
  <c r="A21" i="5" s="1"/>
  <c r="P15" i="5"/>
  <c r="N23" i="5"/>
  <c r="A23" i="5" s="1"/>
  <c r="O25" i="5"/>
  <c r="O23" i="5"/>
  <c r="P24" i="5"/>
  <c r="N24" i="5"/>
  <c r="A24" i="5" s="1"/>
  <c r="N16" i="5"/>
  <c r="A16" i="5" s="1"/>
  <c r="N22" i="5"/>
  <c r="A22" i="5" s="1"/>
  <c r="Y13" i="8" s="1"/>
  <c r="Z13" i="8" s="1"/>
  <c r="P22" i="5"/>
  <c r="O22" i="5"/>
  <c r="N18" i="5"/>
  <c r="A18" i="5" s="1"/>
  <c r="O18" i="5"/>
  <c r="P26" i="5"/>
  <c r="P25" i="5"/>
  <c r="O16" i="5"/>
  <c r="N17" i="5"/>
  <c r="A17" i="5" s="1"/>
  <c r="O21" i="5"/>
  <c r="Y12" i="8" l="1"/>
  <c r="Z12" i="8" s="1"/>
  <c r="O12" i="8"/>
  <c r="P12" i="8" s="1"/>
  <c r="D26" i="6"/>
  <c r="O11" i="8"/>
  <c r="G15" i="6" s="1"/>
  <c r="T13" i="8"/>
  <c r="U13" i="8" s="1"/>
  <c r="W12" i="8" l="1"/>
  <c r="W11" i="8"/>
  <c r="W18" i="8"/>
  <c r="W17" i="8"/>
  <c r="W16" i="8"/>
  <c r="W15" i="8"/>
  <c r="W13" i="8"/>
  <c r="W14" i="8"/>
  <c r="R13" i="8"/>
  <c r="R18" i="8"/>
  <c r="R16" i="8"/>
  <c r="R12" i="8"/>
  <c r="R14" i="8"/>
  <c r="R17" i="8"/>
  <c r="R15" i="8"/>
  <c r="R11" i="8"/>
  <c r="D15" i="6"/>
  <c r="E15" i="6"/>
  <c r="J15" i="6"/>
  <c r="H15" i="6"/>
  <c r="I15" i="6"/>
  <c r="F15" i="6"/>
  <c r="K15" i="6"/>
  <c r="P11" i="8"/>
  <c r="C15" i="6"/>
  <c r="B21" i="8" l="1"/>
  <c r="B25" i="8"/>
  <c r="E25" i="8" s="1"/>
  <c r="B26" i="8"/>
  <c r="H26" i="8" s="1"/>
  <c r="B24" i="8"/>
  <c r="H24" i="8" s="1"/>
  <c r="B23" i="8"/>
  <c r="G23" i="8" s="1"/>
  <c r="B22" i="8"/>
  <c r="G22" i="8" s="1"/>
  <c r="B18" i="8"/>
  <c r="B17" i="8"/>
  <c r="B16" i="8"/>
  <c r="B15" i="8"/>
  <c r="E21" i="8"/>
  <c r="C22" i="8" l="1"/>
  <c r="K22" i="8"/>
  <c r="J22" i="8"/>
  <c r="E23" i="8"/>
  <c r="I22" i="8"/>
  <c r="D22" i="8"/>
  <c r="K25" i="8"/>
  <c r="G25" i="8"/>
  <c r="F22" i="8"/>
  <c r="E22" i="8"/>
  <c r="D26" i="8"/>
  <c r="E26" i="8"/>
  <c r="C23" i="8"/>
  <c r="H23" i="8"/>
  <c r="I23" i="8"/>
  <c r="F23" i="8"/>
  <c r="D23" i="8"/>
  <c r="J23" i="8"/>
  <c r="K23" i="8"/>
  <c r="I24" i="8"/>
  <c r="H22" i="8"/>
  <c r="C24" i="8"/>
  <c r="F24" i="8"/>
  <c r="D24" i="8"/>
  <c r="E24" i="8"/>
  <c r="J24" i="8"/>
  <c r="K24" i="8"/>
  <c r="G24" i="8"/>
  <c r="D21" i="8"/>
  <c r="I21" i="8"/>
  <c r="G21" i="8"/>
  <c r="C21" i="8"/>
  <c r="A21" i="8" s="1"/>
  <c r="J19" i="6" s="1"/>
  <c r="F21" i="8"/>
  <c r="C26" i="8"/>
  <c r="J26" i="8"/>
  <c r="K26" i="8"/>
  <c r="K21" i="8"/>
  <c r="J21" i="8"/>
  <c r="J25" i="8"/>
  <c r="F25" i="8"/>
  <c r="I25" i="8"/>
  <c r="F26" i="8"/>
  <c r="I26" i="8"/>
  <c r="H25" i="8"/>
  <c r="D25" i="8"/>
  <c r="G26" i="8"/>
  <c r="H21" i="8"/>
  <c r="C25" i="8"/>
  <c r="C16" i="8"/>
  <c r="D16" i="8"/>
  <c r="K16" i="8"/>
  <c r="E16" i="8"/>
  <c r="H16" i="8"/>
  <c r="J16" i="8"/>
  <c r="F16" i="8"/>
  <c r="G16" i="8"/>
  <c r="I16" i="8"/>
  <c r="K15" i="8"/>
  <c r="H15" i="8"/>
  <c r="E15" i="8"/>
  <c r="F15" i="8"/>
  <c r="I15" i="8"/>
  <c r="J15" i="8"/>
  <c r="C15" i="8"/>
  <c r="G15" i="8"/>
  <c r="D15" i="8"/>
  <c r="H17" i="8"/>
  <c r="E17" i="8"/>
  <c r="G17" i="8"/>
  <c r="I17" i="8"/>
  <c r="F17" i="8"/>
  <c r="D17" i="8"/>
  <c r="K17" i="8"/>
  <c r="C17" i="8"/>
  <c r="J17" i="8"/>
  <c r="F18" i="8"/>
  <c r="I18" i="8"/>
  <c r="H18" i="8"/>
  <c r="D18" i="8"/>
  <c r="E18" i="8"/>
  <c r="G18" i="8"/>
  <c r="J18" i="8" s="1"/>
  <c r="C18" i="8"/>
  <c r="K18" i="8"/>
  <c r="K19" i="6" l="1"/>
  <c r="A22" i="8"/>
  <c r="E20" i="6" s="1"/>
  <c r="H19" i="6"/>
  <c r="A25" i="8"/>
  <c r="H23" i="6" s="1"/>
  <c r="D19" i="6"/>
  <c r="C19" i="6"/>
  <c r="A23" i="8"/>
  <c r="E21" i="6" s="1"/>
  <c r="G19" i="6"/>
  <c r="F19" i="6"/>
  <c r="A24" i="8"/>
  <c r="K22" i="6" s="1"/>
  <c r="A26" i="8"/>
  <c r="K24" i="6" s="1"/>
  <c r="I19" i="6"/>
  <c r="E19" i="6"/>
  <c r="F7" i="8"/>
  <c r="F8" i="8" s="1"/>
  <c r="G2" i="8" s="1"/>
  <c r="O13" i="8" s="1"/>
  <c r="P13" i="8" s="1"/>
  <c r="F20" i="6" l="1"/>
  <c r="D20" i="6"/>
  <c r="C20" i="6"/>
  <c r="G20" i="6"/>
  <c r="I22" i="6"/>
  <c r="K20" i="6"/>
  <c r="F22" i="6"/>
  <c r="H22" i="6"/>
  <c r="G22" i="6"/>
  <c r="D22" i="6"/>
  <c r="E22" i="6"/>
  <c r="J22" i="6"/>
  <c r="H20" i="6"/>
  <c r="J20" i="6"/>
  <c r="I21" i="6"/>
  <c r="J21" i="6"/>
  <c r="G21" i="6"/>
  <c r="C21" i="6"/>
  <c r="F21" i="6"/>
  <c r="K21" i="6"/>
  <c r="H21" i="6"/>
  <c r="H24" i="6"/>
  <c r="D21" i="6"/>
  <c r="F23" i="6"/>
  <c r="K23" i="6"/>
  <c r="I23" i="6"/>
  <c r="E23" i="6"/>
  <c r="G23" i="6"/>
  <c r="J23" i="6"/>
  <c r="C22" i="6"/>
  <c r="C23" i="6"/>
  <c r="D23" i="6"/>
  <c r="I20" i="6"/>
  <c r="D24" i="6"/>
  <c r="J24" i="6"/>
  <c r="F24" i="6"/>
  <c r="C24" i="6"/>
  <c r="I24" i="6"/>
  <c r="E24" i="6"/>
  <c r="G24" i="6"/>
</calcChain>
</file>

<file path=xl/sharedStrings.xml><?xml version="1.0" encoding="utf-8"?>
<sst xmlns="http://schemas.openxmlformats.org/spreadsheetml/2006/main" count="768" uniqueCount="275">
  <si>
    <t>TPL-0.5/8X12F</t>
  </si>
  <si>
    <t>TPL-1.0/8X12F</t>
  </si>
  <si>
    <t>TPL-1.5/8X14F</t>
  </si>
  <si>
    <t>TPL-10/10X30F</t>
  </si>
  <si>
    <t>TPL-15/12X31F</t>
  </si>
  <si>
    <t>TPL-2.0/8X16F</t>
  </si>
  <si>
    <t>TPL-22/12X35F</t>
  </si>
  <si>
    <t>TPL-25/16X26F</t>
  </si>
  <si>
    <t>TPL-3.3/10X20F</t>
  </si>
  <si>
    <t>TPL-3.3/8X20F</t>
  </si>
  <si>
    <t>TPL-30/16X31F</t>
  </si>
  <si>
    <t>TPL-4.0/10X20F</t>
  </si>
  <si>
    <t>TPL-5.0/10X20F</t>
  </si>
  <si>
    <t>TPL-50/18X40F</t>
  </si>
  <si>
    <t>TPL-70/18X45F</t>
  </si>
  <si>
    <t>TPL-8.0/10X25F</t>
  </si>
  <si>
    <t>TPLS-100/22X45F</t>
  </si>
  <si>
    <t>TPLS-150/25X50F</t>
  </si>
  <si>
    <t>TPL-60/18X40F</t>
  </si>
  <si>
    <t>TPL-6.0/10X20F</t>
  </si>
  <si>
    <t>TPL-1.2/6X15F</t>
  </si>
  <si>
    <t>TPL-28/12X40F</t>
  </si>
  <si>
    <t>PC5</t>
  </si>
  <si>
    <t>TPL-100/22X45F</t>
  </si>
  <si>
    <t>TPL-100/18X60F</t>
  </si>
  <si>
    <t>TPL-6.0/8X28F</t>
  </si>
  <si>
    <t>TPL-11/10X30F</t>
  </si>
  <si>
    <t>TPL-40/12X46F</t>
  </si>
  <si>
    <t>series</t>
  </si>
  <si>
    <t>part_number</t>
  </si>
  <si>
    <t>voltage</t>
  </si>
  <si>
    <t>cap_uf</t>
  </si>
  <si>
    <t>esr_dc</t>
  </si>
  <si>
    <t>diameter</t>
  </si>
  <si>
    <t>length</t>
  </si>
  <si>
    <t>max_op_temp</t>
  </si>
  <si>
    <t>weight</t>
  </si>
  <si>
    <t>65</t>
  </si>
  <si>
    <t>85</t>
  </si>
  <si>
    <t>70</t>
  </si>
  <si>
    <t>PC</t>
  </si>
  <si>
    <t>TPL</t>
  </si>
  <si>
    <t>TPLS</t>
  </si>
  <si>
    <t>INPUT</t>
  </si>
  <si>
    <t>Enter Known Values</t>
  </si>
  <si>
    <t>Working Voltage (Vw)</t>
  </si>
  <si>
    <t xml:space="preserve">Volts </t>
  </si>
  <si>
    <t>Minimum Voltage [Vmin]</t>
  </si>
  <si>
    <t>Time [t]</t>
  </si>
  <si>
    <t>seconds</t>
  </si>
  <si>
    <t>Volume (L)</t>
  </si>
  <si>
    <t>Part Number</t>
  </si>
  <si>
    <t>Cap</t>
  </si>
  <si>
    <t>Cells in Series</t>
  </si>
  <si>
    <t>Cells in Parallel</t>
  </si>
  <si>
    <t>Price per Cell</t>
  </si>
  <si>
    <t>Total # of Caps</t>
  </si>
  <si>
    <t>PBL-0.25/5.4</t>
  </si>
  <si>
    <t>PBL-0.5/5.4</t>
  </si>
  <si>
    <t>PBL-0.75/5.4</t>
  </si>
  <si>
    <t>PBL-1.0/5.4</t>
  </si>
  <si>
    <t>PBL-1.65/5.4</t>
  </si>
  <si>
    <t>PBL-11.0/5.4</t>
  </si>
  <si>
    <t>PBL-15.0/5.4</t>
  </si>
  <si>
    <t>PBL-2.0/5.4</t>
  </si>
  <si>
    <t>PBL-2.5/5.4</t>
  </si>
  <si>
    <t>PBL-25/16.2</t>
  </si>
  <si>
    <t>PBL-3.0/5.4</t>
  </si>
  <si>
    <t>PBL-4.0/5.4</t>
  </si>
  <si>
    <t>PBL-5.0/5.4</t>
  </si>
  <si>
    <t>PBLL</t>
  </si>
  <si>
    <t>PBLL-0.25/5.4</t>
  </si>
  <si>
    <t>PBLL-0.5/5.4</t>
  </si>
  <si>
    <t>PBLL-0.75/5.4</t>
  </si>
  <si>
    <t>PBLL-1.0/5.4</t>
  </si>
  <si>
    <t>PBLL-1.65/5.4</t>
  </si>
  <si>
    <t>PBLL-11.0/5.4</t>
  </si>
  <si>
    <t>PBLL-15.0/5.4</t>
  </si>
  <si>
    <t>PBLL-2.0/5.4</t>
  </si>
  <si>
    <t>PBLL-2.5/5.4</t>
  </si>
  <si>
    <t>PBLL-3.0/5.4</t>
  </si>
  <si>
    <t>PBLL-4.0/5.4</t>
  </si>
  <si>
    <t>PBLL-5.0/5.4</t>
  </si>
  <si>
    <t>PC5-5</t>
  </si>
  <si>
    <t>PBLS</t>
  </si>
  <si>
    <t>PBLS-3.33/8.1</t>
  </si>
  <si>
    <t>PBLS-2.5/10.8</t>
  </si>
  <si>
    <t>PBLS-2.0/13.5</t>
  </si>
  <si>
    <t>PBLS-1.66/16.2</t>
  </si>
  <si>
    <t>PBLS-7.33/8.1</t>
  </si>
  <si>
    <t>PBLS-5.5/10.8</t>
  </si>
  <si>
    <t>PBLS-4.4/13.5</t>
  </si>
  <si>
    <t>PBLS-3.66/16.2</t>
  </si>
  <si>
    <t>PBLS-9.33/8.1</t>
  </si>
  <si>
    <t>PBLS-7.0/10.8</t>
  </si>
  <si>
    <t>PBLS-5.6/13.5</t>
  </si>
  <si>
    <t>PBLS-4.66/16.2</t>
  </si>
  <si>
    <t>PBLS-11.33/8.1</t>
  </si>
  <si>
    <t>PBLS-8.5/10.8</t>
  </si>
  <si>
    <t>PBLS-6.8/13.5</t>
  </si>
  <si>
    <t>PBLS-5.66/16.2</t>
  </si>
  <si>
    <t>PBLS-13.33/8.1</t>
  </si>
  <si>
    <t>PBLS-10/10.8</t>
  </si>
  <si>
    <t>PBLS-8.0/13.5</t>
  </si>
  <si>
    <t>PBLS-6.66/16.2</t>
  </si>
  <si>
    <t>PBLS-15/8.1</t>
  </si>
  <si>
    <t>PBLS-11.25/10.8</t>
  </si>
  <si>
    <t>PBLS-9.0/13.5</t>
  </si>
  <si>
    <t>PBLS-7.5/16.2</t>
  </si>
  <si>
    <t>PBLS-16.66/8.1</t>
  </si>
  <si>
    <t>PBLS-12.5/10.8</t>
  </si>
  <si>
    <t>PBLS-10/13.5</t>
  </si>
  <si>
    <t>PBLS-8.33/16.2</t>
  </si>
  <si>
    <t>PBLS-2.8/27</t>
  </si>
  <si>
    <t>PBLS-3.4/27</t>
  </si>
  <si>
    <t>PBLS-4.0/27</t>
  </si>
  <si>
    <t>PBLS-4.5/27</t>
  </si>
  <si>
    <t>PBLS-5.0/27</t>
  </si>
  <si>
    <t>PBLS-0.41/32.4</t>
  </si>
  <si>
    <t>PBLS-0.83/32.4</t>
  </si>
  <si>
    <t>PBLS-1.83/32.4</t>
  </si>
  <si>
    <t>PBLS-2.33/32.4</t>
  </si>
  <si>
    <t>PBLS-2.83/32.4</t>
  </si>
  <si>
    <t>PBLS-3.33/32.4</t>
  </si>
  <si>
    <t>PBLS-3.75/32.4</t>
  </si>
  <si>
    <t>PBLS-4.16/32.4</t>
  </si>
  <si>
    <t>PBLS-0.62/21.6</t>
  </si>
  <si>
    <t>PBLS-1.25/21.6</t>
  </si>
  <si>
    <t>PBLS-2.75/21.6</t>
  </si>
  <si>
    <t>PBLS-3.5/21.6</t>
  </si>
  <si>
    <t>PBLS-4.25/21.6</t>
  </si>
  <si>
    <t>PBLS-5.0/21.6</t>
  </si>
  <si>
    <t>PBLS-5.62/21.6</t>
  </si>
  <si>
    <t>PBLS-6.25/21.6</t>
  </si>
  <si>
    <t>PBLS-0.5/27</t>
  </si>
  <si>
    <t>PBLS-1.0/27</t>
  </si>
  <si>
    <t>PBLS-2.2/27</t>
  </si>
  <si>
    <t>TPLH-3V</t>
  </si>
  <si>
    <t>Total Price</t>
  </si>
  <si>
    <t>Height</t>
  </si>
  <si>
    <t>-40 to 65 C</t>
  </si>
  <si>
    <t>All</t>
  </si>
  <si>
    <t>-40 to 85 C</t>
  </si>
  <si>
    <t>&lt;10 mm</t>
  </si>
  <si>
    <t>10-15 mm</t>
  </si>
  <si>
    <t>Module</t>
  </si>
  <si>
    <t>15-20 mm</t>
  </si>
  <si>
    <t>Cell or Module</t>
  </si>
  <si>
    <t>Cell</t>
  </si>
  <si>
    <t>Total Weight</t>
  </si>
  <si>
    <t>Height Limit</t>
  </si>
  <si>
    <t>Height Min</t>
  </si>
  <si>
    <t>Height Max</t>
  </si>
  <si>
    <t>voltage2</t>
  </si>
  <si>
    <t>lead_space_s</t>
  </si>
  <si>
    <t>max_op_temp2</t>
  </si>
  <si>
    <t/>
  </si>
  <si>
    <t>PBD</t>
  </si>
  <si>
    <t>PBD-58/16.2K</t>
  </si>
  <si>
    <t>PBD-58/16.2M</t>
  </si>
  <si>
    <t>PBM</t>
  </si>
  <si>
    <t>Max Temp Capable</t>
  </si>
  <si>
    <t>Calculated Volume</t>
  </si>
  <si>
    <t>Total Volume</t>
  </si>
  <si>
    <t>thickness</t>
  </si>
  <si>
    <t>height2</t>
  </si>
  <si>
    <t>Width Total</t>
  </si>
  <si>
    <t>Series</t>
  </si>
  <si>
    <t>Number is Series</t>
  </si>
  <si>
    <t>Number in Parallel</t>
  </si>
  <si>
    <t>Capacitance (F)</t>
  </si>
  <si>
    <t>ESR (mohm)</t>
  </si>
  <si>
    <t>Sort Price</t>
  </si>
  <si>
    <t>Price</t>
  </si>
  <si>
    <t>Min Value</t>
  </si>
  <si>
    <t>Rank</t>
  </si>
  <si>
    <t>Key</t>
  </si>
  <si>
    <t>Cells Solutions</t>
  </si>
  <si>
    <t>Modules Solutions</t>
  </si>
  <si>
    <t>Module Solutions</t>
  </si>
  <si>
    <t>Cell Solutions</t>
  </si>
  <si>
    <t>Calculations, lowest cost</t>
  </si>
  <si>
    <t>Cell + Voltage</t>
  </si>
  <si>
    <t>Cell Voltage</t>
  </si>
  <si>
    <t>Operating Voltage (temp)</t>
  </si>
  <si>
    <t>Parallel CP</t>
  </si>
  <si>
    <t>Current (I)</t>
  </si>
  <si>
    <t>Total Parallel</t>
  </si>
  <si>
    <t>Cell Solution</t>
  </si>
  <si>
    <t>Height (mm)</t>
  </si>
  <si>
    <t>Rank Order</t>
  </si>
  <si>
    <t>Lookup Value</t>
  </si>
  <si>
    <t>Control Value</t>
  </si>
  <si>
    <t>Unique Values from Operating Voltage</t>
  </si>
  <si>
    <t>Control Drop</t>
  </si>
  <si>
    <t>Module Voltage</t>
  </si>
  <si>
    <t xml:space="preserve">Disclaimer: This tool is for estimation only. </t>
  </si>
  <si>
    <t xml:space="preserve">For more acurate sizing please contact Tecate Group </t>
  </si>
  <si>
    <t>(c) Tecate Group</t>
  </si>
  <si>
    <t>Specifications and dimensions are subject to change without notice.  Please confirm technical specifications with Tecate Group before purchasing.</t>
  </si>
  <si>
    <t>Source Column #</t>
  </si>
  <si>
    <t>width</t>
  </si>
  <si>
    <t>leakage_c</t>
  </si>
  <si>
    <t>Total Cap</t>
  </si>
  <si>
    <t>Total ESR</t>
  </si>
  <si>
    <t>Width (mm)</t>
  </si>
  <si>
    <t>Diameter (mm)</t>
  </si>
  <si>
    <t>Length (mm)</t>
  </si>
  <si>
    <t>directly at eng@tecategroup.com or 619-398-9700.</t>
  </si>
  <si>
    <t>PBL</t>
  </si>
  <si>
    <t>Clean Series</t>
  </si>
  <si>
    <t>Price Multiple</t>
  </si>
  <si>
    <t>PBL 16.2V</t>
  </si>
  <si>
    <t>Column1</t>
  </si>
  <si>
    <t>Selection</t>
  </si>
  <si>
    <t>Constant</t>
  </si>
  <si>
    <t>Power (W)</t>
  </si>
  <si>
    <t>Temp Range</t>
  </si>
  <si>
    <t>Row Labels</t>
  </si>
  <si>
    <t>Sum of Selection</t>
  </si>
  <si>
    <t>Max Height</t>
  </si>
  <si>
    <t>20+ mm</t>
  </si>
  <si>
    <t>TPLH Snap-in</t>
  </si>
  <si>
    <t>TPLH-3R0/100SS22X46</t>
  </si>
  <si>
    <t>TPLH-3R0/350SS35X61</t>
  </si>
  <si>
    <t>TPLH-3R0/400SS35X66</t>
  </si>
  <si>
    <t>TPLH-3R0/450SS35X71</t>
  </si>
  <si>
    <t>TPLH Radial</t>
  </si>
  <si>
    <t>TPLH-2R7/1.5WR6X15</t>
  </si>
  <si>
    <t>TPLH-2R7/2.8WR8X16</t>
  </si>
  <si>
    <t>TPLH-2R7/4.0WR8X20</t>
  </si>
  <si>
    <t>TPLH-2R7/6.0WR10X20</t>
  </si>
  <si>
    <t>TPLH-2R7/12WR10X30</t>
  </si>
  <si>
    <t>TPLH-2R7/22WR12X31</t>
  </si>
  <si>
    <t>TPLH-2R7/25WR12X35</t>
  </si>
  <si>
    <t>TPLH-2R7/28WR12X35</t>
  </si>
  <si>
    <t>TPLH-2R7/30WR12X35</t>
  </si>
  <si>
    <t>TPLH-2R7/30WR16X26</t>
  </si>
  <si>
    <t>TPLH-2R7/34WR12X40</t>
  </si>
  <si>
    <t>TPLH-2R7/35WR16X31</t>
  </si>
  <si>
    <t>TPLH-2R7/40WR12X46</t>
  </si>
  <si>
    <t>TPLH-2R7/44WR12X46</t>
  </si>
  <si>
    <t>TPLH-2R7/75WR18X40</t>
  </si>
  <si>
    <t>TPLH-2R7/120WR18X60</t>
  </si>
  <si>
    <t>TPLH 2.7V Threaded</t>
  </si>
  <si>
    <t>TPLH-2R7/650SL60X51</t>
  </si>
  <si>
    <t>TPLH-2R7/1200SL60X74</t>
  </si>
  <si>
    <t>TPLH-2R7/1500SL60X85</t>
  </si>
  <si>
    <t>TPLH-2R7/2000SL60X102</t>
  </si>
  <si>
    <t>TPLH-2R7/3000SL60X138</t>
  </si>
  <si>
    <t>PBL-NB</t>
  </si>
  <si>
    <t>PBL-0.25/5.0NB</t>
  </si>
  <si>
    <t>PBL-0.5/5.0NB</t>
  </si>
  <si>
    <t>PBL-0.75/5.0NB</t>
  </si>
  <si>
    <t>PBL-1.0/5.0NB</t>
  </si>
  <si>
    <t>PBL-1.65/5.0NB</t>
  </si>
  <si>
    <t>PBL-4.0/5.0NB</t>
  </si>
  <si>
    <t>PBL-5.0/5.0NB</t>
  </si>
  <si>
    <t>PBL-11.0/5.0NB</t>
  </si>
  <si>
    <t>PBL-15.0/5.0NB</t>
  </si>
  <si>
    <t>PBL-2.0/5.0NB</t>
  </si>
  <si>
    <t>PBL-2.5/5.0NB</t>
  </si>
  <si>
    <t>PBL-3.0/5.0NB</t>
  </si>
  <si>
    <t>TPLH 3.0V Threaded</t>
  </si>
  <si>
    <t>TPLH-3R0/650SL60X51</t>
  </si>
  <si>
    <t>TPLH-3R0/1200SL60X74</t>
  </si>
  <si>
    <t>TPLH-3R0/1500SL60X85</t>
  </si>
  <si>
    <t>TPLH-3R0/2000SL60X102</t>
  </si>
  <si>
    <t>TPLH-3R0/3000SL60X138</t>
  </si>
  <si>
    <t>PBLH 12V</t>
  </si>
  <si>
    <t>PBLH-12R0/87WT</t>
  </si>
  <si>
    <t>PBLH-12R0/100WT</t>
  </si>
  <si>
    <t>PBLH-12R0/112WT</t>
  </si>
  <si>
    <t>PBLH-10R8/150WT</t>
  </si>
  <si>
    <t>TPLH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</si>
</sst>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0.0000"/>
    <numFmt numFmtId="166" formatCode="0.000"/>
    <numFmt numFmtId="167" formatCode="0.0"/>
  </numFmts>
  <fonts count="14" x14ac:knownFonts="1">
    <font>
      <sz val="11"/>
      <color theme="1"/>
      <name val="Calibri"/>
      <family val="2"/>
      <scheme val="minor"/>
    </font>
    <font>
      <sz val="11"/>
      <color theme="1"/>
      <name val="Calibri"/>
      <family val="2"/>
      <scheme val="minor"/>
    </font>
    <font>
      <b/>
      <sz val="10"/>
      <name val="Arial"/>
      <family val="2"/>
    </font>
    <font>
      <b/>
      <sz val="8"/>
      <color indexed="9"/>
      <name val="Arial"/>
      <family val="2"/>
    </font>
    <font>
      <b/>
      <sz val="11"/>
      <color theme="1"/>
      <name val="Calibri"/>
      <family val="2"/>
      <scheme val="minor"/>
    </font>
    <font>
      <sz val="10"/>
      <name val="Arial"/>
      <family val="2"/>
    </font>
    <font>
      <b/>
      <sz val="18"/>
      <color theme="1"/>
      <name val="Calibri"/>
      <family val="2"/>
      <scheme val="minor"/>
    </font>
    <font>
      <sz val="16"/>
      <color indexed="10"/>
      <name val="Arial"/>
      <family val="2"/>
    </font>
    <font>
      <b/>
      <i/>
      <sz val="8"/>
      <name val="Arial"/>
      <family val="2"/>
    </font>
    <font>
      <b/>
      <sz val="11"/>
      <color theme="0"/>
      <name val="Calibri"/>
      <family val="2"/>
      <scheme val="minor"/>
    </font>
    <font>
      <sz val="12"/>
      <name val="Calibri Light"/>
      <family val="2"/>
      <scheme val="major"/>
    </font>
    <font>
      <b/>
      <sz val="12"/>
      <color indexed="9"/>
      <name val="Arial"/>
      <family val="2"/>
    </font>
    <font>
      <b/>
      <sz val="12"/>
      <name val="Arial"/>
      <family val="2"/>
    </font>
    <font>
      <sz val="12"/>
      <name val="Calibri"/>
      <family val="2"/>
      <scheme val="minor"/>
    </font>
  </fonts>
  <fills count="7">
    <fill>
      <patternFill patternType="none"/>
    </fill>
    <fill>
      <patternFill patternType="gray125"/>
    </fill>
    <fill>
      <patternFill patternType="solid">
        <fgColor indexed="18"/>
        <bgColor indexed="64"/>
      </patternFill>
    </fill>
    <fill>
      <patternFill patternType="solid">
        <fgColor rgb="FFFFFF00"/>
        <bgColor indexed="64"/>
      </patternFill>
    </fill>
    <fill>
      <patternFill patternType="solid">
        <fgColor rgb="FF0070C0"/>
        <bgColor indexed="64"/>
      </patternFill>
    </fill>
    <fill>
      <patternFill patternType="solid">
        <fgColor theme="4"/>
        <bgColor theme="4"/>
      </patternFill>
    </fill>
    <fill>
      <patternFill patternType="solid">
        <fgColor theme="4" tint="0.79998168889431442"/>
        <bgColor theme="4" tint="0.79998168889431442"/>
      </patternFill>
    </fill>
  </fills>
  <borders count="26">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style="thin">
        <color theme="4" tint="0.39997558519241921"/>
      </right>
      <top/>
      <bottom style="thin">
        <color theme="4" tint="0.3999755851924192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29">
    <xf numFmtId="0" fontId="0" fillId="0" borderId="0" xfId="0"/>
    <xf numFmtId="0" fontId="0" fillId="0" borderId="0" xfId="0" applyNumberFormat="1"/>
    <xf numFmtId="0" fontId="5" fillId="3" borderId="2" xfId="0" applyFont="1" applyFill="1" applyBorder="1" applyProtection="1">
      <protection hidden="1"/>
    </xf>
    <xf numFmtId="0" fontId="2" fillId="0" borderId="2" xfId="0" quotePrefix="1" applyFont="1" applyBorder="1" applyProtection="1">
      <protection hidden="1"/>
    </xf>
    <xf numFmtId="0" fontId="3" fillId="2" borderId="4" xfId="0" applyFont="1" applyFill="1" applyBorder="1" applyAlignment="1" applyProtection="1">
      <alignment horizontal="center"/>
      <protection hidden="1"/>
    </xf>
    <xf numFmtId="0" fontId="3" fillId="2" borderId="0" xfId="0" applyFont="1" applyFill="1" applyBorder="1" applyAlignment="1" applyProtection="1">
      <alignment horizontal="center"/>
      <protection hidden="1"/>
    </xf>
    <xf numFmtId="44" fontId="0" fillId="0" borderId="0" xfId="1" applyFont="1" applyAlignment="1">
      <alignment shrinkToFit="1"/>
    </xf>
    <xf numFmtId="0" fontId="0" fillId="0" borderId="0" xfId="1" applyNumberFormat="1" applyFont="1" applyAlignment="1">
      <alignment shrinkToFit="1"/>
    </xf>
    <xf numFmtId="0" fontId="3" fillId="2" borderId="4" xfId="0" applyNumberFormat="1" applyFont="1" applyFill="1" applyBorder="1" applyAlignment="1" applyProtection="1">
      <alignment horizontal="center"/>
      <protection hidden="1"/>
    </xf>
    <xf numFmtId="0" fontId="3" fillId="2" borderId="5" xfId="0" applyNumberFormat="1" applyFont="1" applyFill="1" applyBorder="1" applyAlignment="1" applyProtection="1">
      <alignment horizontal="center"/>
      <protection hidden="1"/>
    </xf>
    <xf numFmtId="0" fontId="2" fillId="0" borderId="0" xfId="0" applyFont="1" applyFill="1" applyBorder="1" applyProtection="1">
      <protection hidden="1"/>
    </xf>
    <xf numFmtId="0" fontId="4" fillId="0" borderId="0" xfId="0" applyFont="1"/>
    <xf numFmtId="0" fontId="0" fillId="3" borderId="2" xfId="0" applyFill="1" applyBorder="1"/>
    <xf numFmtId="0" fontId="0" fillId="0" borderId="2" xfId="0" applyBorder="1"/>
    <xf numFmtId="0" fontId="4" fillId="0" borderId="6" xfId="1" applyNumberFormat="1" applyFont="1" applyBorder="1" applyAlignment="1">
      <alignment shrinkToFit="1"/>
    </xf>
    <xf numFmtId="44" fontId="0" fillId="0" borderId="7" xfId="1" applyFont="1" applyBorder="1" applyAlignment="1">
      <alignment shrinkToFit="1"/>
    </xf>
    <xf numFmtId="0" fontId="4" fillId="0" borderId="6" xfId="0" applyFont="1" applyBorder="1"/>
    <xf numFmtId="0" fontId="0" fillId="0" borderId="7" xfId="0" applyBorder="1"/>
    <xf numFmtId="0" fontId="0" fillId="0" borderId="7" xfId="0" applyNumberFormat="1" applyBorder="1"/>
    <xf numFmtId="0" fontId="0" fillId="0" borderId="0" xfId="0" applyBorder="1"/>
    <xf numFmtId="0" fontId="0" fillId="0" borderId="0" xfId="0" applyAlignment="1">
      <alignment horizontal="center"/>
    </xf>
    <xf numFmtId="0" fontId="0" fillId="0" borderId="13" xfId="0" applyBorder="1"/>
    <xf numFmtId="0" fontId="0" fillId="0" borderId="13" xfId="0" applyNumberFormat="1" applyBorder="1"/>
    <xf numFmtId="0" fontId="0" fillId="0" borderId="14" xfId="0" applyNumberFormat="1" applyBorder="1"/>
    <xf numFmtId="0" fontId="0" fillId="0" borderId="0" xfId="0" applyNumberFormat="1" applyAlignment="1">
      <alignment horizontal="center"/>
    </xf>
    <xf numFmtId="0" fontId="0" fillId="0" borderId="8" xfId="0" applyBorder="1" applyAlignment="1">
      <alignment horizontal="center"/>
    </xf>
    <xf numFmtId="44" fontId="0" fillId="0" borderId="0" xfId="1" applyFont="1" applyAlignment="1">
      <alignment horizontal="center" shrinkToFit="1"/>
    </xf>
    <xf numFmtId="0" fontId="0" fillId="0" borderId="0" xfId="1" applyNumberFormat="1" applyFont="1" applyAlignment="1">
      <alignment horizontal="center" shrinkToFit="1"/>
    </xf>
    <xf numFmtId="44" fontId="0" fillId="0" borderId="7" xfId="1" applyFont="1" applyBorder="1" applyAlignment="1">
      <alignment horizontal="center" shrinkToFit="1"/>
    </xf>
    <xf numFmtId="0" fontId="0" fillId="0" borderId="7" xfId="1" applyNumberFormat="1" applyFont="1" applyBorder="1" applyAlignment="1">
      <alignment horizontal="center" shrinkToFit="1"/>
    </xf>
    <xf numFmtId="0" fontId="0" fillId="0" borderId="7" xfId="0" applyBorder="1" applyAlignment="1">
      <alignment horizontal="center"/>
    </xf>
    <xf numFmtId="0" fontId="7" fillId="0" borderId="0" xfId="0" applyFont="1" applyBorder="1" applyAlignment="1" applyProtection="1">
      <alignment horizontal="center"/>
      <protection hidden="1"/>
    </xf>
    <xf numFmtId="0" fontId="0" fillId="0" borderId="12" xfId="0" applyBorder="1"/>
    <xf numFmtId="0" fontId="0" fillId="0" borderId="1" xfId="0" applyBorder="1"/>
    <xf numFmtId="0" fontId="0" fillId="0" borderId="0" xfId="0" applyNumberFormat="1" applyBorder="1"/>
    <xf numFmtId="0" fontId="0" fillId="0" borderId="15" xfId="0" applyNumberFormat="1" applyBorder="1"/>
    <xf numFmtId="0" fontId="8" fillId="0" borderId="0" xfId="0" applyFont="1" applyBorder="1" applyProtection="1">
      <protection hidden="1"/>
    </xf>
    <xf numFmtId="0" fontId="0" fillId="0" borderId="0" xfId="0" applyProtection="1">
      <protection locked="0" hidden="1"/>
    </xf>
    <xf numFmtId="44" fontId="0" fillId="0" borderId="0" xfId="1" applyFont="1" applyProtection="1">
      <protection locked="0" hidden="1"/>
    </xf>
    <xf numFmtId="0" fontId="0" fillId="0" borderId="0" xfId="0" applyProtection="1">
      <protection hidden="1"/>
    </xf>
    <xf numFmtId="1" fontId="0" fillId="0" borderId="0" xfId="0" applyNumberFormat="1" applyProtection="1">
      <protection hidden="1"/>
    </xf>
    <xf numFmtId="0" fontId="0" fillId="0" borderId="6" xfId="0" applyBorder="1"/>
    <xf numFmtId="0" fontId="0" fillId="0" borderId="8" xfId="0" applyBorder="1"/>
    <xf numFmtId="0" fontId="0" fillId="0" borderId="10" xfId="0" applyBorder="1"/>
    <xf numFmtId="0" fontId="0" fillId="0" borderId="11" xfId="0" applyBorder="1"/>
    <xf numFmtId="0" fontId="0" fillId="0" borderId="3" xfId="0" applyBorder="1"/>
    <xf numFmtId="0" fontId="0" fillId="0" borderId="9" xfId="0" applyBorder="1" applyProtection="1">
      <protection locked="0"/>
    </xf>
    <xf numFmtId="0" fontId="0" fillId="0" borderId="3" xfId="1" applyNumberFormat="1" applyFont="1" applyBorder="1" applyAlignment="1" applyProtection="1">
      <alignment shrinkToFit="1"/>
      <protection hidden="1"/>
    </xf>
    <xf numFmtId="44" fontId="0" fillId="0" borderId="0" xfId="1" applyFont="1" applyBorder="1" applyAlignment="1" applyProtection="1">
      <alignment shrinkToFit="1"/>
      <protection hidden="1"/>
    </xf>
    <xf numFmtId="0" fontId="0" fillId="0" borderId="0" xfId="1" applyNumberFormat="1" applyFont="1" applyBorder="1" applyAlignment="1" applyProtection="1">
      <alignment horizontal="center" shrinkToFit="1"/>
      <protection hidden="1"/>
    </xf>
    <xf numFmtId="0" fontId="0" fillId="0" borderId="9" xfId="1" applyNumberFormat="1" applyFont="1" applyBorder="1" applyAlignment="1" applyProtection="1">
      <alignment horizontal="center" shrinkToFit="1"/>
      <protection hidden="1"/>
    </xf>
    <xf numFmtId="0" fontId="0" fillId="0" borderId="9" xfId="0" applyBorder="1"/>
    <xf numFmtId="44" fontId="0" fillId="0" borderId="7" xfId="1" applyFont="1" applyBorder="1" applyAlignment="1" applyProtection="1">
      <alignment shrinkToFit="1"/>
      <protection hidden="1"/>
    </xf>
    <xf numFmtId="0" fontId="0" fillId="0" borderId="7" xfId="1" applyNumberFormat="1" applyFont="1" applyBorder="1" applyAlignment="1" applyProtection="1">
      <alignment horizontal="center" shrinkToFit="1"/>
      <protection hidden="1"/>
    </xf>
    <xf numFmtId="0" fontId="0" fillId="0" borderId="8" xfId="1" applyNumberFormat="1" applyFont="1" applyBorder="1" applyAlignment="1" applyProtection="1">
      <alignment horizontal="center" shrinkToFit="1"/>
      <protection hidden="1"/>
    </xf>
    <xf numFmtId="0" fontId="0" fillId="0" borderId="17" xfId="1" applyNumberFormat="1" applyFont="1" applyBorder="1" applyAlignment="1" applyProtection="1">
      <alignment shrinkToFit="1"/>
      <protection hidden="1"/>
    </xf>
    <xf numFmtId="44" fontId="0" fillId="0" borderId="16" xfId="1" applyFont="1" applyBorder="1" applyAlignment="1" applyProtection="1">
      <alignment shrinkToFit="1"/>
      <protection hidden="1"/>
    </xf>
    <xf numFmtId="0" fontId="0" fillId="0" borderId="16" xfId="1" applyNumberFormat="1" applyFont="1" applyBorder="1" applyAlignment="1" applyProtection="1">
      <alignment horizontal="center" shrinkToFit="1"/>
      <protection hidden="1"/>
    </xf>
    <xf numFmtId="0" fontId="0" fillId="0" borderId="18" xfId="1" applyNumberFormat="1" applyFont="1" applyBorder="1" applyAlignment="1" applyProtection="1">
      <alignment horizontal="center" shrinkToFit="1"/>
      <protection hidden="1"/>
    </xf>
    <xf numFmtId="0" fontId="4" fillId="0" borderId="7" xfId="0" applyFont="1" applyBorder="1"/>
    <xf numFmtId="0" fontId="4" fillId="0" borderId="8" xfId="0" applyFont="1" applyBorder="1"/>
    <xf numFmtId="0" fontId="4" fillId="0" borderId="3" xfId="0" applyFont="1" applyBorder="1"/>
    <xf numFmtId="0" fontId="4" fillId="0" borderId="0" xfId="0" applyFont="1" applyBorder="1"/>
    <xf numFmtId="0" fontId="4" fillId="0" borderId="17" xfId="0" applyFont="1" applyBorder="1"/>
    <xf numFmtId="0" fontId="4" fillId="0" borderId="16" xfId="0" applyFont="1" applyBorder="1"/>
    <xf numFmtId="0" fontId="0" fillId="0" borderId="18" xfId="0" applyBorder="1"/>
    <xf numFmtId="0" fontId="5" fillId="0" borderId="0" xfId="0" applyFont="1" applyFill="1" applyBorder="1" applyProtection="1">
      <protection hidden="1"/>
    </xf>
    <xf numFmtId="0" fontId="0" fillId="0" borderId="0" xfId="0" applyFill="1" applyProtection="1">
      <protection locked="0" hidden="1"/>
    </xf>
    <xf numFmtId="0" fontId="0" fillId="0" borderId="0" xfId="0" applyFill="1" applyProtection="1">
      <protection hidden="1"/>
    </xf>
    <xf numFmtId="0" fontId="0" fillId="0" borderId="0" xfId="0" applyFill="1" applyAlignment="1" applyProtection="1">
      <alignment horizontal="center"/>
      <protection locked="0" hidden="1"/>
    </xf>
    <xf numFmtId="0" fontId="0" fillId="0" borderId="0" xfId="1" applyNumberFormat="1" applyFont="1" applyFill="1" applyProtection="1">
      <protection hidden="1"/>
    </xf>
    <xf numFmtId="44" fontId="0" fillId="0" borderId="0" xfId="1" applyFont="1" applyFill="1" applyAlignment="1" applyProtection="1">
      <alignment horizontal="center"/>
      <protection hidden="1"/>
    </xf>
    <xf numFmtId="44" fontId="0" fillId="0" borderId="0" xfId="1" applyFont="1" applyFill="1" applyProtection="1">
      <protection locked="0" hidden="1"/>
    </xf>
    <xf numFmtId="0" fontId="0" fillId="0" borderId="0" xfId="0" applyFill="1" applyAlignment="1" applyProtection="1">
      <alignment horizontal="center"/>
      <protection hidden="1"/>
    </xf>
    <xf numFmtId="0" fontId="3" fillId="2" borderId="0" xfId="0" applyNumberFormat="1" applyFont="1" applyFill="1" applyBorder="1" applyAlignment="1" applyProtection="1">
      <alignment horizontal="center"/>
      <protection hidden="1"/>
    </xf>
    <xf numFmtId="0" fontId="0" fillId="4" borderId="0" xfId="0" applyNumberFormat="1" applyFill="1" applyProtection="1">
      <protection hidden="1"/>
    </xf>
    <xf numFmtId="164" fontId="0" fillId="4" borderId="0" xfId="1" applyNumberFormat="1" applyFont="1" applyFill="1" applyProtection="1">
      <protection hidden="1"/>
    </xf>
    <xf numFmtId="0" fontId="0" fillId="4" borderId="0" xfId="1" applyNumberFormat="1" applyFont="1" applyFill="1" applyProtection="1">
      <protection hidden="1"/>
    </xf>
    <xf numFmtId="0" fontId="0" fillId="4" borderId="0" xfId="1" applyNumberFormat="1" applyFont="1" applyFill="1" applyAlignment="1" applyProtection="1">
      <alignment horizontal="center"/>
      <protection hidden="1"/>
    </xf>
    <xf numFmtId="0" fontId="0" fillId="4" borderId="0" xfId="0" applyFill="1" applyAlignment="1" applyProtection="1">
      <alignment horizontal="center"/>
      <protection hidden="1"/>
    </xf>
    <xf numFmtId="0" fontId="0" fillId="0" borderId="0" xfId="0" applyFill="1"/>
    <xf numFmtId="164" fontId="0" fillId="0" borderId="0" xfId="1" applyNumberFormat="1" applyFont="1" applyFill="1" applyProtection="1">
      <protection hidden="1"/>
    </xf>
    <xf numFmtId="44" fontId="0" fillId="0" borderId="0" xfId="1" applyFont="1" applyFill="1" applyProtection="1">
      <protection hidden="1"/>
    </xf>
    <xf numFmtId="0" fontId="0" fillId="0" borderId="0" xfId="0" applyNumberFormat="1" applyFill="1" applyAlignment="1" applyProtection="1">
      <alignment horizontal="center"/>
      <protection locked="0" hidden="1"/>
    </xf>
    <xf numFmtId="165" fontId="0" fillId="4" borderId="0" xfId="0" applyNumberFormat="1" applyFill="1" applyProtection="1">
      <protection hidden="1"/>
    </xf>
    <xf numFmtId="0" fontId="0" fillId="4" borderId="0" xfId="0" applyFill="1" applyProtection="1">
      <protection hidden="1"/>
    </xf>
    <xf numFmtId="0" fontId="0" fillId="4" borderId="0" xfId="0" applyNumberFormat="1" applyFill="1" applyAlignment="1" applyProtection="1">
      <alignment horizontal="center"/>
      <protection hidden="1"/>
    </xf>
    <xf numFmtId="0" fontId="0" fillId="0" borderId="0" xfId="0" applyNumberFormat="1" applyFill="1" applyProtection="1">
      <protection hidden="1"/>
    </xf>
    <xf numFmtId="1" fontId="0" fillId="0" borderId="0" xfId="0" applyNumberFormat="1" applyFill="1" applyProtection="1">
      <protection hidden="1"/>
    </xf>
    <xf numFmtId="166" fontId="0" fillId="0" borderId="0" xfId="1" applyNumberFormat="1" applyFont="1" applyBorder="1" applyAlignment="1" applyProtection="1">
      <alignment horizontal="center" shrinkToFit="1"/>
      <protection hidden="1"/>
    </xf>
    <xf numFmtId="0" fontId="0" fillId="0" borderId="6" xfId="1" applyNumberFormat="1" applyFont="1" applyBorder="1" applyAlignment="1" applyProtection="1">
      <alignment horizontal="center" shrinkToFit="1"/>
      <protection hidden="1"/>
    </xf>
    <xf numFmtId="0" fontId="0" fillId="0" borderId="3" xfId="1" applyNumberFormat="1" applyFont="1" applyBorder="1" applyAlignment="1" applyProtection="1">
      <alignment horizontal="center" shrinkToFit="1"/>
      <protection hidden="1"/>
    </xf>
    <xf numFmtId="2" fontId="0" fillId="0" borderId="0" xfId="0" applyNumberFormat="1"/>
    <xf numFmtId="2" fontId="0" fillId="4" borderId="0" xfId="0" applyNumberFormat="1" applyFill="1" applyProtection="1">
      <protection hidden="1"/>
    </xf>
    <xf numFmtId="44" fontId="0" fillId="0" borderId="0" xfId="1" applyFont="1" applyAlignment="1" applyProtection="1">
      <alignment horizontal="right"/>
      <protection hidden="1"/>
    </xf>
    <xf numFmtId="44" fontId="0" fillId="0" borderId="0" xfId="1" applyFont="1" applyProtection="1">
      <protection hidden="1"/>
    </xf>
    <xf numFmtId="0" fontId="0" fillId="3" borderId="6" xfId="1" applyNumberFormat="1" applyFont="1" applyFill="1" applyBorder="1" applyAlignment="1" applyProtection="1">
      <alignment shrinkToFit="1"/>
      <protection hidden="1"/>
    </xf>
    <xf numFmtId="44" fontId="0" fillId="3" borderId="7" xfId="1" applyFont="1" applyFill="1" applyBorder="1" applyAlignment="1" applyProtection="1">
      <alignment shrinkToFit="1"/>
      <protection hidden="1"/>
    </xf>
    <xf numFmtId="0" fontId="0" fillId="3" borderId="7" xfId="1" applyNumberFormat="1" applyFont="1" applyFill="1" applyBorder="1" applyAlignment="1" applyProtection="1">
      <alignment horizontal="center" shrinkToFit="1"/>
      <protection hidden="1"/>
    </xf>
    <xf numFmtId="0" fontId="0" fillId="3" borderId="8" xfId="1" applyNumberFormat="1" applyFont="1" applyFill="1" applyBorder="1" applyAlignment="1" applyProtection="1">
      <alignment horizontal="center" shrinkToFit="1"/>
      <protection hidden="1"/>
    </xf>
    <xf numFmtId="0" fontId="0" fillId="0" borderId="0" xfId="0" applyBorder="1" applyProtection="1">
      <protection hidden="1"/>
    </xf>
    <xf numFmtId="0" fontId="0" fillId="0" borderId="0" xfId="0" applyBorder="1" applyAlignment="1" applyProtection="1">
      <alignment horizontal="center"/>
      <protection hidden="1"/>
    </xf>
    <xf numFmtId="0" fontId="0" fillId="0" borderId="0" xfId="0" applyNumberFormat="1" applyBorder="1" applyProtection="1">
      <protection hidden="1"/>
    </xf>
    <xf numFmtId="0" fontId="0" fillId="0" borderId="0" xfId="0" applyNumberFormat="1" applyProtection="1">
      <protection hidden="1"/>
    </xf>
    <xf numFmtId="0" fontId="6" fillId="0" borderId="0" xfId="0" applyFont="1" applyBorder="1" applyProtection="1">
      <protection hidden="1"/>
    </xf>
    <xf numFmtId="167" fontId="0" fillId="0" borderId="0" xfId="1" applyNumberFormat="1" applyFont="1" applyBorder="1" applyAlignment="1" applyProtection="1">
      <alignment horizontal="center" shrinkToFit="1"/>
      <protection hidden="1"/>
    </xf>
    <xf numFmtId="2" fontId="0" fillId="0" borderId="0" xfId="1" applyNumberFormat="1" applyFont="1" applyBorder="1" applyAlignment="1" applyProtection="1">
      <alignment horizontal="center" shrinkToFit="1"/>
      <protection hidden="1"/>
    </xf>
    <xf numFmtId="167" fontId="0" fillId="0" borderId="0" xfId="0" applyNumberFormat="1" applyBorder="1" applyAlignment="1" applyProtection="1">
      <alignment horizontal="center"/>
      <protection hidden="1"/>
    </xf>
    <xf numFmtId="2" fontId="0" fillId="0" borderId="0" xfId="0" applyNumberFormat="1" applyBorder="1" applyAlignment="1" applyProtection="1">
      <alignment horizontal="center"/>
      <protection hidden="1"/>
    </xf>
    <xf numFmtId="0" fontId="0" fillId="6" borderId="19" xfId="0" applyFont="1" applyFill="1" applyBorder="1"/>
    <xf numFmtId="0" fontId="0" fillId="6" borderId="20" xfId="0" applyFont="1" applyFill="1" applyBorder="1"/>
    <xf numFmtId="0" fontId="9" fillId="5" borderId="21" xfId="0" applyFont="1" applyFill="1" applyBorder="1"/>
    <xf numFmtId="0" fontId="9" fillId="5" borderId="22" xfId="0" applyFont="1" applyFill="1" applyBorder="1"/>
    <xf numFmtId="0" fontId="5" fillId="3" borderId="23" xfId="0" applyFont="1" applyFill="1" applyBorder="1" applyProtection="1">
      <protection hidden="1"/>
    </xf>
    <xf numFmtId="0" fontId="5" fillId="0" borderId="23" xfId="0" applyFont="1" applyBorder="1" applyProtection="1">
      <protection hidden="1"/>
    </xf>
    <xf numFmtId="0" fontId="0" fillId="0" borderId="0" xfId="0" pivotButton="1"/>
    <xf numFmtId="0" fontId="0" fillId="0" borderId="0" xfId="0" applyAlignment="1">
      <alignment horizontal="left"/>
    </xf>
    <xf numFmtId="0" fontId="10" fillId="0" borderId="2" xfId="0" applyFont="1" applyFill="1" applyBorder="1" applyAlignment="1" applyProtection="1">
      <alignment horizontal="center"/>
      <protection hidden="1"/>
    </xf>
    <xf numFmtId="0" fontId="13" fillId="0" borderId="2" xfId="0" applyFont="1" applyFill="1" applyBorder="1" applyAlignment="1" applyProtection="1">
      <alignment horizontal="center"/>
      <protection locked="0" hidden="1"/>
    </xf>
    <xf numFmtId="44" fontId="0" fillId="0" borderId="0" xfId="1" applyNumberFormat="1" applyFont="1" applyProtection="1">
      <protection hidden="1"/>
    </xf>
    <xf numFmtId="0" fontId="10" fillId="0" borderId="24" xfId="0" applyFont="1" applyBorder="1" applyAlignment="1" applyProtection="1">
      <protection hidden="1"/>
    </xf>
    <xf numFmtId="0" fontId="10" fillId="0" borderId="25" xfId="0" applyFont="1" applyBorder="1" applyAlignment="1" applyProtection="1">
      <protection hidden="1"/>
    </xf>
    <xf numFmtId="0" fontId="10" fillId="0" borderId="23" xfId="0" applyFont="1" applyBorder="1" applyAlignment="1" applyProtection="1">
      <protection hidden="1"/>
    </xf>
    <xf numFmtId="0" fontId="12" fillId="0" borderId="0" xfId="0" applyFont="1" applyBorder="1" applyAlignment="1" applyProtection="1">
      <protection hidden="1"/>
    </xf>
    <xf numFmtId="0" fontId="11" fillId="2" borderId="0" xfId="0" applyFont="1" applyFill="1" applyBorder="1" applyAlignment="1" applyProtection="1">
      <alignment horizontal="center" vertical="center"/>
      <protection hidden="1"/>
    </xf>
    <xf numFmtId="0" fontId="10" fillId="0" borderId="2" xfId="0" applyFont="1" applyBorder="1" applyAlignment="1" applyProtection="1">
      <protection hidden="1"/>
    </xf>
    <xf numFmtId="0" fontId="10" fillId="0" borderId="24" xfId="0" applyFont="1" applyBorder="1" applyAlignment="1" applyProtection="1">
      <alignment horizontal="left"/>
      <protection locked="0" hidden="1"/>
    </xf>
    <xf numFmtId="0" fontId="10" fillId="0" borderId="25" xfId="0" applyFont="1" applyBorder="1" applyAlignment="1" applyProtection="1">
      <alignment horizontal="left"/>
      <protection locked="0" hidden="1"/>
    </xf>
    <xf numFmtId="0" fontId="10" fillId="0" borderId="23" xfId="0" applyFont="1" applyBorder="1" applyAlignment="1" applyProtection="1">
      <alignment horizontal="left"/>
      <protection locked="0" hidden="1"/>
    </xf>
  </cellXfs>
  <cellStyles count="2">
    <cellStyle name="Currency" xfId="1" builtinId="4"/>
    <cellStyle name="Normal" xfId="0" builtinId="0"/>
  </cellStyles>
  <dxfs count="52">
    <dxf>
      <fill>
        <patternFill patternType="none">
          <fgColor indexed="64"/>
          <bgColor indexed="65"/>
        </patternFill>
      </fill>
      <protection locked="1" hidden="1"/>
    </dxf>
    <dxf>
      <fill>
        <patternFill patternType="none">
          <fgColor indexed="64"/>
          <bgColor indexed="65"/>
        </patternFill>
      </fill>
      <protection locked="1" hidden="1"/>
    </dxf>
    <dxf>
      <numFmt numFmtId="0" formatCode="General"/>
      <fill>
        <patternFill patternType="none">
          <fgColor indexed="64"/>
          <bgColor indexed="65"/>
        </patternFill>
      </fill>
      <protection locked="1" hidden="1"/>
    </dxf>
    <dxf>
      <numFmt numFmtId="0" formatCode="General"/>
      <fill>
        <patternFill patternType="none">
          <fgColor indexed="64"/>
          <bgColor indexed="65"/>
        </patternFill>
      </fill>
      <protection locked="1" hidden="1"/>
    </dxf>
    <dxf>
      <fill>
        <patternFill patternType="none">
          <fgColor indexed="64"/>
          <bgColor indexed="65"/>
        </patternFill>
      </fill>
      <protection locked="1" hidden="1"/>
    </dxf>
    <dxf>
      <fill>
        <patternFill patternType="none">
          <fgColor indexed="64"/>
          <bgColor indexed="65"/>
        </patternFill>
      </fill>
      <protection locked="1" hidden="1"/>
    </dxf>
    <dxf>
      <fill>
        <patternFill patternType="none">
          <fgColor indexed="64"/>
          <bgColor indexed="65"/>
        </patternFill>
      </fill>
      <protection locked="1" hidden="1"/>
    </dxf>
    <dxf>
      <fill>
        <patternFill patternType="none">
          <fgColor indexed="64"/>
          <bgColor indexed="65"/>
        </patternFill>
      </fill>
      <protection locked="1" hidden="1"/>
    </dxf>
    <dxf>
      <fill>
        <patternFill patternType="none">
          <fgColor indexed="64"/>
          <bgColor indexed="65"/>
        </patternFill>
      </fill>
      <protection locked="1" hidden="1"/>
    </dxf>
    <dxf>
      <fill>
        <patternFill patternType="none">
          <fgColor indexed="64"/>
          <bgColor indexed="65"/>
        </patternFill>
      </fill>
      <protection locked="1" hidden="1"/>
    </dxf>
    <dxf>
      <fill>
        <patternFill patternType="none">
          <fgColor indexed="64"/>
          <bgColor indexed="65"/>
        </patternFill>
      </fill>
      <protection locked="1" hidden="1"/>
    </dxf>
    <dxf>
      <fill>
        <patternFill patternType="none">
          <fgColor indexed="64"/>
          <bgColor indexed="65"/>
        </patternFill>
      </fill>
      <protection locked="1" hidden="1"/>
    </dxf>
    <dxf>
      <fill>
        <patternFill patternType="none">
          <fgColor indexed="64"/>
          <bgColor indexed="65"/>
        </patternFill>
      </fill>
      <protection locked="1" hidden="1"/>
    </dxf>
    <dxf>
      <fill>
        <patternFill patternType="none">
          <fgColor indexed="64"/>
          <bgColor indexed="65"/>
        </patternFill>
      </fill>
      <protection locked="1" hidden="1"/>
    </dxf>
    <dxf>
      <fill>
        <patternFill patternType="none">
          <fgColor indexed="64"/>
          <bgColor indexed="65"/>
        </patternFill>
      </fill>
      <protection locked="1" hidden="1"/>
    </dxf>
    <dxf>
      <numFmt numFmtId="0" formatCode="General"/>
      <fill>
        <patternFill patternType="none">
          <fgColor indexed="64"/>
          <bgColor indexed="65"/>
        </patternFill>
      </fill>
      <protection locked="1" hidden="1"/>
    </dxf>
    <dxf>
      <numFmt numFmtId="0" formatCode="General"/>
      <fill>
        <patternFill patternType="none">
          <fgColor indexed="64"/>
          <bgColor indexed="65"/>
        </patternFill>
      </fill>
      <protection locked="1" hidden="1"/>
    </dxf>
    <dxf>
      <numFmt numFmtId="0" formatCode="General"/>
      <fill>
        <patternFill patternType="solid">
          <fgColor indexed="64"/>
          <bgColor rgb="FF0070C0"/>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rgb="FF0070C0"/>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rgb="FF0070C0"/>
        </patternFill>
      </fill>
      <alignment horizontal="center" vertical="bottom" textRotation="0" wrapText="0" indent="0" justifyLastLine="0" shrinkToFit="0" readingOrder="0"/>
      <protection locked="1" hidden="1"/>
    </dxf>
    <dxf>
      <numFmt numFmtId="0" formatCode="General"/>
      <fill>
        <patternFill patternType="solid">
          <fgColor indexed="64"/>
          <bgColor rgb="FF0070C0"/>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rgb="FF0070C0"/>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rgb="FF0070C0"/>
        </patternFill>
      </fill>
      <protection locked="1" hidden="1"/>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rgb="FF0070C0"/>
        </patternFill>
      </fill>
      <protection locked="1" hidden="1"/>
    </dxf>
    <dxf>
      <numFmt numFmtId="164" formatCode="&quot;$&quot;#,##0.00"/>
      <fill>
        <patternFill patternType="solid">
          <fgColor indexed="64"/>
          <bgColor rgb="FF0070C0"/>
        </patternFill>
      </fill>
      <protection locked="1" hidden="1"/>
    </dxf>
    <dxf>
      <numFmt numFmtId="0" formatCode="General"/>
      <fill>
        <patternFill patternType="solid">
          <fgColor indexed="64"/>
          <bgColor rgb="FF0070C0"/>
        </patternFill>
      </fill>
      <protection locked="1" hidden="1"/>
    </dxf>
    <dxf>
      <numFmt numFmtId="0" formatCode="General"/>
      <fill>
        <patternFill patternType="solid">
          <fgColor indexed="64"/>
          <bgColor rgb="FF0070C0"/>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rgb="FF0070C0"/>
        </patternFill>
      </fill>
      <alignment horizontal="center" vertical="bottom" textRotation="0" wrapText="0" indent="0" justifyLastLine="0" shrinkToFit="0" readingOrder="0"/>
      <protection locked="1" hidden="1"/>
    </dxf>
    <dxf>
      <numFmt numFmtId="0" formatCode="General"/>
      <fill>
        <patternFill patternType="solid">
          <fgColor indexed="64"/>
          <bgColor rgb="FF0070C0"/>
        </patternFill>
      </fill>
      <protection locked="1" hidden="1"/>
    </dxf>
    <dxf>
      <numFmt numFmtId="0" formatCode="General"/>
      <fill>
        <patternFill patternType="solid">
          <fgColor indexed="64"/>
          <bgColor rgb="FF0070C0"/>
        </patternFill>
      </fill>
      <protection locked="1" hidden="1"/>
    </dxf>
    <dxf>
      <numFmt numFmtId="0" formatCode="General"/>
      <fill>
        <patternFill patternType="solid">
          <fgColor indexed="64"/>
          <bgColor rgb="FF0070C0"/>
        </patternFill>
      </fill>
      <protection locked="1" hidden="1"/>
    </dxf>
    <dxf>
      <numFmt numFmtId="0" formatCode="General"/>
      <fill>
        <patternFill patternType="solid">
          <fgColor indexed="64"/>
          <bgColor rgb="FF0070C0"/>
        </patternFill>
      </fill>
      <protection locked="1" hidden="1"/>
    </dxf>
    <dxf>
      <numFmt numFmtId="0" formatCode="General"/>
      <fill>
        <patternFill patternType="solid">
          <fgColor indexed="64"/>
          <bgColor rgb="FF0070C0"/>
        </patternFill>
      </fill>
      <protection locked="1" hidden="1"/>
    </dxf>
    <dxf>
      <numFmt numFmtId="0" formatCode="General"/>
      <fill>
        <patternFill patternType="solid">
          <fgColor indexed="64"/>
          <bgColor rgb="FF0070C0"/>
        </patternFill>
      </fill>
      <protection locked="1" hidden="1"/>
    </dxf>
    <dxf>
      <numFmt numFmtId="0" formatCode="General"/>
      <fill>
        <patternFill patternType="solid">
          <fgColor indexed="64"/>
          <bgColor rgb="FF0070C0"/>
        </patternFill>
      </fill>
      <protection locked="1" hidden="1"/>
    </dxf>
    <dxf>
      <numFmt numFmtId="2" formatCode="0.00"/>
      <fill>
        <patternFill patternType="solid">
          <fgColor indexed="64"/>
          <bgColor rgb="FF0070C0"/>
        </patternFill>
      </fill>
      <protection locked="1" hidden="1"/>
    </dxf>
    <dxf>
      <numFmt numFmtId="0" formatCode="General"/>
      <fill>
        <patternFill patternType="solid">
          <fgColor indexed="64"/>
          <bgColor rgb="FF0070C0"/>
        </patternFill>
      </fill>
      <protection locked="1" hidden="1"/>
    </dxf>
    <dxf>
      <numFmt numFmtId="165" formatCode="0.0000"/>
      <fill>
        <patternFill patternType="solid">
          <fgColor indexed="64"/>
          <bgColor rgb="FF0070C0"/>
        </patternFill>
      </fill>
      <protection locked="1" hidden="1"/>
    </dxf>
    <dxf>
      <protection locked="0" hidden="1"/>
    </dxf>
    <dxf>
      <fill>
        <patternFill patternType="none">
          <fgColor indexed="64"/>
          <bgColor auto="1"/>
        </patternFill>
      </fill>
      <protection locked="0" hidden="1"/>
    </dxf>
    <dxf>
      <font>
        <b val="0"/>
        <i val="0"/>
        <strike val="0"/>
        <condense val="0"/>
        <extend val="0"/>
        <outline val="0"/>
        <shadow val="0"/>
        <u val="none"/>
        <vertAlign val="baseline"/>
        <sz val="10"/>
        <color auto="1"/>
        <name val="Arial"/>
        <family val="2"/>
        <scheme val="none"/>
      </font>
      <border diagonalUp="0" diagonalDown="0">
        <left/>
        <right style="thin">
          <color indexed="64"/>
        </right>
        <top style="thin">
          <color indexed="64"/>
        </top>
        <bottom style="thin">
          <color indexed="64"/>
        </bottom>
        <vertical/>
        <horizontal/>
      </border>
      <protection locked="1" hidden="1"/>
    </dxf>
    <dxf>
      <border outline="0">
        <left style="thin">
          <color indexed="64"/>
        </left>
      </border>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b/>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1" hidden="1"/>
    </dxf>
    <dxf>
      <numFmt numFmtId="0" formatCode="General"/>
      <protection locked="1" hidden="1"/>
    </dxf>
    <dxf>
      <numFmt numFmtId="34" formatCode="_(&quot;$&quot;* #,##0.00_);_(&quot;$&quot;* \(#,##0.00\);_(&quot;$&quot;* &quot;-&quot;??_);_(@_)"/>
      <protection locked="1" hidden="1"/>
    </dxf>
    <dxf>
      <numFmt numFmtId="0" formatCode="General"/>
    </dxf>
    <dxf>
      <numFmt numFmtId="0" formatCode="General"/>
      <protection locked="1" hidden="1"/>
    </dxf>
    <dxf>
      <alignment horizontal="right" vertical="bottom" textRotation="0" wrapText="0" indent="0" justifyLastLine="0" shrinkToFit="0" readingOrder="0"/>
      <protection locked="1" hidden="1"/>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pivotCacheDefinition" Target="pivotCache/pivotCacheDefinition3.xml"/><Relationship Id="rId11" Type="http://schemas.openxmlformats.org/officeDocument/2006/relationships/styles" Target="styles.xml"/><Relationship Id="rId5" Type="http://schemas.openxmlformats.org/officeDocument/2006/relationships/pivotCacheDefinition" Target="pivotCache/pivotCacheDefinition2.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7/relationships/slicerCache" Target="slicerCaches/slicerCache3.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8626</xdr:rowOff>
    </xdr:from>
    <xdr:to>
      <xdr:col>14</xdr:col>
      <xdr:colOff>155275</xdr:colOff>
      <xdr:row>4</xdr:row>
      <xdr:rowOff>93991</xdr:rowOff>
    </xdr:to>
    <xdr:pic>
      <xdr:nvPicPr>
        <xdr:cNvPr id="10" name="Picture 5" descr="TG-SizingTool.jpg">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626"/>
          <a:ext cx="12042475" cy="8195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30</xdr:row>
      <xdr:rowOff>17254</xdr:rowOff>
    </xdr:from>
    <xdr:to>
      <xdr:col>14</xdr:col>
      <xdr:colOff>0</xdr:colOff>
      <xdr:row>34</xdr:row>
      <xdr:rowOff>18425</xdr:rowOff>
    </xdr:to>
    <xdr:pic>
      <xdr:nvPicPr>
        <xdr:cNvPr id="13" name="Picture 6" descr="TG-SizingTool-footer.jp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271405"/>
          <a:ext cx="11887200" cy="725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43133</xdr:colOff>
      <xdr:row>5</xdr:row>
      <xdr:rowOff>17252</xdr:rowOff>
    </xdr:from>
    <xdr:to>
      <xdr:col>6</xdr:col>
      <xdr:colOff>379563</xdr:colOff>
      <xdr:row>9</xdr:row>
      <xdr:rowOff>77638</xdr:rowOff>
    </xdr:to>
    <mc:AlternateContent xmlns:mc="http://schemas.openxmlformats.org/markup-compatibility/2006" xmlns:a14="http://schemas.microsoft.com/office/drawing/2010/main">
      <mc:Choice Requires="a14">
        <xdr:graphicFrame macro="">
          <xdr:nvGraphicFramePr>
            <xdr:cNvPr id="2" name="Constant 1">
              <a:extLst>
                <a:ext uri="{FF2B5EF4-FFF2-40B4-BE49-F238E27FC236}">
                  <a16:creationId xmlns:a16="http://schemas.microsoft.com/office/drawing/2014/main" id="{1781AA20-8068-4EE4-B33C-11C36C99C4DA}"/>
                </a:ext>
                <a:ext uri="{147F2762-F138-4A5C-976F-8EAC2B608ADB}">
                  <a16:predDERef xmlns:a16="http://schemas.microsoft.com/office/drawing/2014/main" pred="{00000000-0008-0000-0100-00000D000000}"/>
                </a:ext>
              </a:extLst>
            </xdr:cNvPr>
            <xdr:cNvGraphicFramePr/>
          </xdr:nvGraphicFramePr>
          <xdr:xfrm>
            <a:off x="0" y="0"/>
            <a:ext cx="0" cy="0"/>
          </xdr:xfrm>
          <a:graphic>
            <a:graphicData uri="http://schemas.microsoft.com/office/drawing/2010/slicer">
              <sle:slicer xmlns:sle="http://schemas.microsoft.com/office/drawing/2010/slicer" name="Constant 1"/>
            </a:graphicData>
          </a:graphic>
        </xdr:graphicFrame>
      </mc:Choice>
      <mc:Fallback xmlns="">
        <xdr:sp macro="" textlink="">
          <xdr:nvSpPr>
            <xdr:cNvPr id="0" name=""/>
            <xdr:cNvSpPr>
              <a:spLocks noTextEdit="1"/>
            </xdr:cNvSpPr>
          </xdr:nvSpPr>
          <xdr:spPr>
            <a:xfrm>
              <a:off x="4166559" y="845389"/>
              <a:ext cx="1716657" cy="89714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6</xdr:col>
      <xdr:colOff>414069</xdr:colOff>
      <xdr:row>5</xdr:row>
      <xdr:rowOff>25879</xdr:rowOff>
    </xdr:from>
    <xdr:to>
      <xdr:col>7</xdr:col>
      <xdr:colOff>928958</xdr:colOff>
      <xdr:row>9</xdr:row>
      <xdr:rowOff>77638</xdr:rowOff>
    </xdr:to>
    <mc:AlternateContent xmlns:mc="http://schemas.openxmlformats.org/markup-compatibility/2006" xmlns:a14="http://schemas.microsoft.com/office/drawing/2010/main">
      <mc:Choice Requires="a14">
        <xdr:graphicFrame macro="">
          <xdr:nvGraphicFramePr>
            <xdr:cNvPr id="8" name="Temp Range 1">
              <a:extLst>
                <a:ext uri="{FF2B5EF4-FFF2-40B4-BE49-F238E27FC236}">
                  <a16:creationId xmlns:a16="http://schemas.microsoft.com/office/drawing/2014/main" id="{6B5DCE80-318F-4A75-96CA-8391935F976A}"/>
                </a:ext>
              </a:extLst>
            </xdr:cNvPr>
            <xdr:cNvGraphicFramePr/>
          </xdr:nvGraphicFramePr>
          <xdr:xfrm>
            <a:off x="0" y="0"/>
            <a:ext cx="0" cy="0"/>
          </xdr:xfrm>
          <a:graphic>
            <a:graphicData uri="http://schemas.microsoft.com/office/drawing/2010/slicer">
              <sle:slicer xmlns:sle="http://schemas.microsoft.com/office/drawing/2010/slicer" name="Temp Range 1"/>
            </a:graphicData>
          </a:graphic>
        </xdr:graphicFrame>
      </mc:Choice>
      <mc:Fallback xmlns="">
        <xdr:sp macro="" textlink="">
          <xdr:nvSpPr>
            <xdr:cNvPr id="0" name=""/>
            <xdr:cNvSpPr>
              <a:spLocks noTextEdit="1"/>
            </xdr:cNvSpPr>
          </xdr:nvSpPr>
          <xdr:spPr>
            <a:xfrm>
              <a:off x="5909095" y="854015"/>
              <a:ext cx="1449238" cy="871268"/>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8</xdr:col>
      <xdr:colOff>43133</xdr:colOff>
      <xdr:row>5</xdr:row>
      <xdr:rowOff>17253</xdr:rowOff>
    </xdr:from>
    <xdr:to>
      <xdr:col>10</xdr:col>
      <xdr:colOff>86265</xdr:colOff>
      <xdr:row>12</xdr:row>
      <xdr:rowOff>129395</xdr:rowOff>
    </xdr:to>
    <mc:AlternateContent xmlns:mc="http://schemas.openxmlformats.org/markup-compatibility/2006" xmlns:a14="http://schemas.microsoft.com/office/drawing/2010/main">
      <mc:Choice Requires="a14">
        <xdr:graphicFrame macro="">
          <xdr:nvGraphicFramePr>
            <xdr:cNvPr id="11" name="Height 1">
              <a:extLst>
                <a:ext uri="{FF2B5EF4-FFF2-40B4-BE49-F238E27FC236}">
                  <a16:creationId xmlns:a16="http://schemas.microsoft.com/office/drawing/2014/main" id="{118D4941-827E-4049-963A-1C3A1C06CBED}"/>
                </a:ext>
              </a:extLst>
            </xdr:cNvPr>
            <xdr:cNvGraphicFramePr/>
          </xdr:nvGraphicFramePr>
          <xdr:xfrm>
            <a:off x="0" y="0"/>
            <a:ext cx="0" cy="0"/>
          </xdr:xfrm>
          <a:graphic>
            <a:graphicData uri="http://schemas.microsoft.com/office/drawing/2010/slicer">
              <sle:slicer xmlns:sle="http://schemas.microsoft.com/office/drawing/2010/slicer" name="Height 1"/>
            </a:graphicData>
          </a:graphic>
        </xdr:graphicFrame>
      </mc:Choice>
      <mc:Fallback xmlns="">
        <xdr:sp macro="" textlink="">
          <xdr:nvSpPr>
            <xdr:cNvPr id="0" name=""/>
            <xdr:cNvSpPr>
              <a:spLocks noTextEdit="1"/>
            </xdr:cNvSpPr>
          </xdr:nvSpPr>
          <xdr:spPr>
            <a:xfrm>
              <a:off x="7410091" y="845389"/>
              <a:ext cx="1828800" cy="167352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690112</xdr:colOff>
      <xdr:row>25</xdr:row>
      <xdr:rowOff>163903</xdr:rowOff>
    </xdr:from>
    <xdr:to>
      <xdr:col>14</xdr:col>
      <xdr:colOff>462232</xdr:colOff>
      <xdr:row>30</xdr:row>
      <xdr:rowOff>93094</xdr:rowOff>
    </xdr:to>
    <mc:AlternateContent xmlns:mc="http://schemas.openxmlformats.org/markup-compatibility/2006" xmlns:a14="http://schemas.microsoft.com/office/drawing/2010/main">
      <mc:Choice Requires="a14">
        <xdr:graphicFrame macro="">
          <xdr:nvGraphicFramePr>
            <xdr:cNvPr id="2" name="Temp Range">
              <a:extLst>
                <a:ext uri="{FF2B5EF4-FFF2-40B4-BE49-F238E27FC236}">
                  <a16:creationId xmlns:a16="http://schemas.microsoft.com/office/drawing/2014/main" id="{FFB9C759-321D-45CD-8FE6-A2A710B11B90}"/>
                </a:ext>
              </a:extLst>
            </xdr:cNvPr>
            <xdr:cNvGraphicFramePr/>
          </xdr:nvGraphicFramePr>
          <xdr:xfrm>
            <a:off x="0" y="0"/>
            <a:ext cx="0" cy="0"/>
          </xdr:xfrm>
          <a:graphic>
            <a:graphicData uri="http://schemas.microsoft.com/office/drawing/2010/slicer">
              <sle:slicer xmlns:sle="http://schemas.microsoft.com/office/drawing/2010/slicer" name="Temp Range"/>
            </a:graphicData>
          </a:graphic>
        </xdr:graphicFrame>
      </mc:Choice>
      <mc:Fallback xmlns="">
        <xdr:sp macro="" textlink="">
          <xdr:nvSpPr>
            <xdr:cNvPr id="0" name=""/>
            <xdr:cNvSpPr>
              <a:spLocks noTextEdit="1"/>
            </xdr:cNvSpPr>
          </xdr:nvSpPr>
          <xdr:spPr>
            <a:xfrm>
              <a:off x="11723297" y="4718650"/>
              <a:ext cx="1380227" cy="86264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13</xdr:col>
      <xdr:colOff>25879</xdr:colOff>
      <xdr:row>34</xdr:row>
      <xdr:rowOff>43132</xdr:rowOff>
    </xdr:from>
    <xdr:to>
      <xdr:col>14</xdr:col>
      <xdr:colOff>833169</xdr:colOff>
      <xdr:row>39</xdr:row>
      <xdr:rowOff>5930</xdr:rowOff>
    </xdr:to>
    <mc:AlternateContent xmlns:mc="http://schemas.openxmlformats.org/markup-compatibility/2006" xmlns:a14="http://schemas.microsoft.com/office/drawing/2010/main">
      <mc:Choice Requires="a14">
        <xdr:graphicFrame macro="">
          <xdr:nvGraphicFramePr>
            <xdr:cNvPr id="3" name="Constant">
              <a:extLst>
                <a:ext uri="{FF2B5EF4-FFF2-40B4-BE49-F238E27FC236}">
                  <a16:creationId xmlns:a16="http://schemas.microsoft.com/office/drawing/2014/main" id="{44A28EA6-A75C-4E1B-A5D7-DF7EC8DD6C9A}"/>
                </a:ext>
              </a:extLst>
            </xdr:cNvPr>
            <xdr:cNvGraphicFramePr/>
          </xdr:nvGraphicFramePr>
          <xdr:xfrm>
            <a:off x="0" y="0"/>
            <a:ext cx="0" cy="0"/>
          </xdr:xfrm>
          <a:graphic>
            <a:graphicData uri="http://schemas.microsoft.com/office/drawing/2010/slicer">
              <sle:slicer xmlns:sle="http://schemas.microsoft.com/office/drawing/2010/slicer" name="Constant"/>
            </a:graphicData>
          </a:graphic>
        </xdr:graphicFrame>
      </mc:Choice>
      <mc:Fallback xmlns="">
        <xdr:sp macro="" textlink="">
          <xdr:nvSpPr>
            <xdr:cNvPr id="0" name=""/>
            <xdr:cNvSpPr>
              <a:spLocks noTextEdit="1"/>
            </xdr:cNvSpPr>
          </xdr:nvSpPr>
          <xdr:spPr>
            <a:xfrm>
              <a:off x="11757804" y="6236898"/>
              <a:ext cx="1716657" cy="89714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16</xdr:col>
      <xdr:colOff>310551</xdr:colOff>
      <xdr:row>34</xdr:row>
      <xdr:rowOff>172528</xdr:rowOff>
    </xdr:from>
    <xdr:to>
      <xdr:col>18</xdr:col>
      <xdr:colOff>543464</xdr:colOff>
      <xdr:row>48</xdr:row>
      <xdr:rowOff>15452</xdr:rowOff>
    </xdr:to>
    <mc:AlternateContent xmlns:mc="http://schemas.openxmlformats.org/markup-compatibility/2006" xmlns:a14="http://schemas.microsoft.com/office/drawing/2010/main">
      <mc:Choice Requires="a14">
        <xdr:graphicFrame macro="">
          <xdr:nvGraphicFramePr>
            <xdr:cNvPr id="11" name="Height">
              <a:extLst>
                <a:ext uri="{FF2B5EF4-FFF2-40B4-BE49-F238E27FC236}">
                  <a16:creationId xmlns:a16="http://schemas.microsoft.com/office/drawing/2014/main" id="{4288AE11-AAC7-42D0-95AB-388F072E3718}"/>
                </a:ext>
              </a:extLst>
            </xdr:cNvPr>
            <xdr:cNvGraphicFramePr/>
          </xdr:nvGraphicFramePr>
          <xdr:xfrm>
            <a:off x="0" y="0"/>
            <a:ext cx="0" cy="0"/>
          </xdr:xfrm>
          <a:graphic>
            <a:graphicData uri="http://schemas.microsoft.com/office/drawing/2010/slicer">
              <sle:slicer xmlns:sle="http://schemas.microsoft.com/office/drawing/2010/slicer" name="Height"/>
            </a:graphicData>
          </a:graphic>
        </xdr:graphicFrame>
      </mc:Choice>
      <mc:Fallback xmlns="">
        <xdr:sp macro="" textlink="">
          <xdr:nvSpPr>
            <xdr:cNvPr id="0" name=""/>
            <xdr:cNvSpPr>
              <a:spLocks noTextEdit="1"/>
            </xdr:cNvSpPr>
          </xdr:nvSpPr>
          <xdr:spPr>
            <a:xfrm>
              <a:off x="14595894" y="6366294"/>
              <a:ext cx="1828800" cy="246481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eter Preuss" refreshedDate="43593.553557060186" createdVersion="6" refreshedVersion="6" minRefreshableVersion="3" recordCount="2" xr:uid="{00165617-4615-464F-B9C3-C6F6BFF8F2B0}">
  <cacheSource type="worksheet">
    <worksheetSource name="Table7"/>
  </cacheSource>
  <cacheFields count="2">
    <cacheField name="Temp Range" numFmtId="0">
      <sharedItems count="2">
        <s v="-40 to 65 C"/>
        <s v="-40 to 85 C"/>
      </sharedItems>
    </cacheField>
    <cacheField name="Selection" numFmtId="0">
      <sharedItems containsSemiMixedTypes="0" containsString="0" containsNumber="1" containsInteger="1" minValue="1" maxValue="2"/>
    </cacheField>
  </cacheFields>
  <extLst>
    <ext xmlns:x14="http://schemas.microsoft.com/office/spreadsheetml/2009/9/main" uri="{725AE2AE-9491-48be-B2B4-4EB974FC3084}">
      <x14:pivotCacheDefinition pivotCacheId="339432383"/>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eter Preuss" refreshedDate="43593.553557754632" createdVersion="6" refreshedVersion="6" minRefreshableVersion="3" recordCount="2" xr:uid="{B84D5583-43D6-4770-A924-11EB13C39033}">
  <cacheSource type="worksheet">
    <worksheetSource name="Table8"/>
  </cacheSource>
  <cacheFields count="2">
    <cacheField name="Constant" numFmtId="0">
      <sharedItems count="2">
        <s v="Power (W)"/>
        <s v="Current (I)"/>
      </sharedItems>
    </cacheField>
    <cacheField name="Selection" numFmtId="0">
      <sharedItems containsSemiMixedTypes="0" containsString="0" containsNumber="1" containsInteger="1" minValue="1" maxValue="2"/>
    </cacheField>
  </cacheFields>
  <extLst>
    <ext xmlns:x14="http://schemas.microsoft.com/office/spreadsheetml/2009/9/main" uri="{725AE2AE-9491-48be-B2B4-4EB974FC3084}">
      <x14:pivotCacheDefinition pivotCacheId="197601310"/>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eter Preuss" refreshedDate="43593.553559259257" createdVersion="6" refreshedVersion="6" minRefreshableVersion="3" recordCount="5" xr:uid="{C780F3F2-E607-470D-A5EA-6558F2AAF369}">
  <cacheSource type="worksheet">
    <worksheetSource name="Table9"/>
  </cacheSource>
  <cacheFields count="2">
    <cacheField name="Height" numFmtId="0">
      <sharedItems count="5">
        <s v="All"/>
        <s v="20+ mm"/>
        <s v="15-20 mm"/>
        <s v="10-15 mm"/>
        <s v="&lt;10 mm"/>
      </sharedItems>
    </cacheField>
    <cacheField name="Selection" numFmtId="0">
      <sharedItems containsSemiMixedTypes="0" containsString="0" containsNumber="1" containsInteger="1" minValue="1" maxValue="5"/>
    </cacheField>
  </cacheFields>
  <extLst>
    <ext xmlns:x14="http://schemas.microsoft.com/office/spreadsheetml/2009/9/main" uri="{725AE2AE-9491-48be-B2B4-4EB974FC3084}">
      <x14:pivotCacheDefinition pivotCacheId="214467810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x v="0"/>
    <n v="1"/>
  </r>
  <r>
    <x v="1"/>
    <n v="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x v="0"/>
    <n v="2"/>
  </r>
  <r>
    <x v="1"/>
    <n v="1"/>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n v="1"/>
  </r>
  <r>
    <x v="1"/>
    <n v="5"/>
  </r>
  <r>
    <x v="2"/>
    <n v="4"/>
  </r>
  <r>
    <x v="3"/>
    <n v="3"/>
  </r>
  <r>
    <x v="4"/>
    <n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FF4D7BE-EB08-44B7-A4BD-95EFFB09ED7B}" name="PivotTable4" cacheId="17"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location ref="N41:O42" firstHeaderRow="1" firstDataRow="1" firstDataCol="1"/>
  <pivotFields count="2">
    <pivotField axis="axisRow" showAll="0">
      <items count="6">
        <item h="1" x="4"/>
        <item h="1" x="3"/>
        <item h="1" x="2"/>
        <item h="1" x="1"/>
        <item x="0"/>
        <item t="default"/>
      </items>
    </pivotField>
    <pivotField dataField="1" showAll="0"/>
  </pivotFields>
  <rowFields count="1">
    <field x="0"/>
  </rowFields>
  <rowItems count="1">
    <i>
      <x v="4"/>
    </i>
  </rowItems>
  <colItems count="1">
    <i/>
  </colItems>
  <dataFields count="1">
    <dataField name="Sum of Selection" fld="1"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F124B38-6FE3-4F17-A093-4C9315C656AA}" name="PivotTable2" cacheId="16"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location ref="N36:O37" firstHeaderRow="1" firstDataRow="1" firstDataCol="1"/>
  <pivotFields count="2">
    <pivotField axis="axisRow" showAll="0">
      <items count="3">
        <item x="1"/>
        <item h="1" x="0"/>
        <item t="default"/>
      </items>
    </pivotField>
    <pivotField dataField="1" showAll="0"/>
  </pivotFields>
  <rowFields count="1">
    <field x="0"/>
  </rowFields>
  <rowItems count="1">
    <i>
      <x/>
    </i>
  </rowItems>
  <colItems count="1">
    <i/>
  </colItems>
  <dataFields count="1">
    <dataField name="Sum of Selection" fld="1"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BD4C55C3-C691-4286-8C7E-7DBDE86AB97A}" name="PivotTable1" cacheId="15"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location ref="N32:O33" firstHeaderRow="1" firstDataRow="1" firstDataCol="1"/>
  <pivotFields count="2">
    <pivotField axis="axisRow" showAll="0" sortType="ascending">
      <items count="3">
        <item x="0"/>
        <item h="1" x="1"/>
        <item t="default"/>
      </items>
    </pivotField>
    <pivotField dataField="1" showAll="0"/>
  </pivotFields>
  <rowFields count="1">
    <field x="0"/>
  </rowFields>
  <rowItems count="1">
    <i>
      <x/>
    </i>
  </rowItems>
  <colItems count="1">
    <i/>
  </colItems>
  <dataFields count="1">
    <dataField name="Sum of Selection" fld="1"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emp_Range" xr10:uid="{6C7B4563-F6E6-468C-90CC-24BA749353AD}" sourceName="Temp Range">
  <pivotTables>
    <pivotTable tabId="8" name="PivotTable1"/>
  </pivotTables>
  <data>
    <tabular pivotCacheId="339432383">
      <items count="2">
        <i x="0" s="1"/>
        <i x="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stant" xr10:uid="{4D201D90-4695-4EA6-AC85-18AA4D58EC4B}" sourceName="Constant">
  <pivotTables>
    <pivotTable tabId="8" name="PivotTable2"/>
  </pivotTables>
  <data>
    <tabular pivotCacheId="197601310">
      <items count="2">
        <i x="1" s="1"/>
        <i x="0"/>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Height" xr10:uid="{4075DFF7-9558-4CA1-9019-FEA8E5BBD2E9}" sourceName="Height">
  <pivotTables>
    <pivotTable tabId="8" name="PivotTable4"/>
  </pivotTables>
  <data>
    <tabular pivotCacheId="2144678103" sortOrder="descending">
      <items count="5">
        <i x="0" s="1"/>
        <i x="1"/>
        <i x="2"/>
        <i x="3"/>
        <i x="4"/>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emp Range 1" xr10:uid="{2C2541D8-5542-4779-B503-4751D1F68EB6}" cache="Slicer_Temp_Range" caption="Temp Range" rowHeight="234710"/>
  <slicer name="Constant 1" xr10:uid="{701AEF19-8677-440E-A185-F167EA447A15}" cache="Slicer_Constant" caption="Select a constant" rowHeight="234710"/>
  <slicer name="Height 1" xr10:uid="{6451C7DC-0935-4567-8F26-7CD50353931F}" cache="Slicer_Height" caption="Maximum Height" rowHeight="23471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emp Range" xr10:uid="{DCB7B9F3-60B4-4BFF-AA2A-176A8ECC1C43}" cache="Slicer_Temp_Range" caption="Select One" rowHeight="234710"/>
  <slicer name="Constant" xr10:uid="{ADF0CE43-57A8-4309-BBE8-28B92B17BBD7}" cache="Slicer_Constant" caption="Select a constant" rowHeight="234710"/>
  <slicer name="Height" xr10:uid="{48A44A97-3F70-460C-B66B-3190A51BCA75}" cache="Slicer_Height" caption="Height" rowHeight="23471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D71D3B1-9315-4641-A357-BF9A194EC5BE}" name="Table2" displayName="Table2" ref="R10:U18" totalsRowShown="0">
  <autoFilter ref="R10:U18" xr:uid="{D7DC4CB4-BC78-40BF-91A6-D832A74D798B}"/>
  <sortState xmlns:xlrd2="http://schemas.microsoft.com/office/spreadsheetml/2017/richdata2" ref="R11:U18">
    <sortCondition ref="R10:R18"/>
  </sortState>
  <tableColumns count="4">
    <tableColumn id="7" xr3:uid="{FBDD00AE-8C6B-4263-BDDC-EE3331363E35}" name="Rank" dataDxfId="51">
      <calculatedColumnFormula>_xlfn.RANK.EQ(Table2[[#This Row],[Rank Order]],Table2[Rank Order],1)</calculatedColumnFormula>
    </tableColumn>
    <tableColumn id="1" xr3:uid="{46A3C2C3-EF25-4E70-A916-3F3CF5064E08}" name="Series"/>
    <tableColumn id="2" xr3:uid="{3432A54F-4040-4E59-BBFC-F7E12668B091}" name="Sort Price" dataDxfId="50" dataCellStyle="Currency">
      <calculatedColumnFormula>_xlfn.MINIFS(products_parts[Sort Price],products_parts[series],Table2[[#This Row],[Series]],products_parts[Height Limit],TRUE,products_parts[Max Temp Capable],1,products_parts[Cell or Module],1)</calculatedColumnFormula>
    </tableColumn>
    <tableColumn id="3" xr3:uid="{F47F7C80-7564-49EB-B416-9F080944B1B8}" name="Rank Order" dataDxfId="49">
      <calculatedColumnFormula>IF(Table2[[#This Row],[Sort Price]]=0,10000000+ROW(),Table2[[#This Row],[Sort Price]])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7E0545-CF4A-40B3-819A-CA69C15FA8C5}" name="Table3" displayName="Table3" ref="W10:Z18" totalsRowShown="0">
  <autoFilter ref="W10:Z18" xr:uid="{8DCCFBAF-F753-489C-A776-E9BDB4EE44FA}"/>
  <sortState xmlns:xlrd2="http://schemas.microsoft.com/office/spreadsheetml/2017/richdata2" ref="W11:Z18">
    <sortCondition descending="1" ref="W10:W18"/>
  </sortState>
  <tableColumns count="4">
    <tableColumn id="1" xr3:uid="{66EF210F-7700-49F7-BFEF-9E16AB0B9D80}" name="Rank" dataDxfId="48">
      <calculatedColumnFormula>_xlfn.RANK.EQ(Table3[[#This Row],[Rank Order]],Table3[Rank Order],1)</calculatedColumnFormula>
    </tableColumn>
    <tableColumn id="2" xr3:uid="{C2687AFB-7CDE-4399-8CC4-D53566735D34}" name="Series"/>
    <tableColumn id="3" xr3:uid="{253C72D6-3616-47BA-9A5E-A8A5208D8CF1}" name="Sort Price" dataDxfId="47" dataCellStyle="Currency">
      <calculatedColumnFormula>_xlfn.MINIFS(products_parts[Sort Price],products_parts[Clean Series],Table3[[#This Row],[Series]],products_parts[Height Limit],TRUE,products_parts[Max Temp Capable],1)</calculatedColumnFormula>
    </tableColumn>
    <tableColumn id="4" xr3:uid="{D0EE97C2-4A5A-4F16-8563-61C30E0C33B5}" name="Rank Order" dataDxfId="46">
      <calculatedColumnFormula>IF(Table3[[#This Row],[Sort Price]]=0,10000000+ROW(),Table3[[#This Row],[Sort Price]])</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7BF00B-93E8-4F32-8456-851F2C6B876F}" name="Table1" displayName="Table1" ref="E6:F8" totalsRowShown="0">
  <autoFilter ref="E6:F8" xr:uid="{85230810-6F8C-406E-984A-7596DEFC3E92}"/>
  <tableColumns count="2">
    <tableColumn id="1" xr3:uid="{97B3B774-7848-4AA8-8A6B-5371FDBE1902}" name="Unique Values from Operating Voltage"/>
    <tableColumn id="2" xr3:uid="{6423B431-A1D5-41EB-B7DA-EEAEB68D1253}" name="Column1">
      <calculatedColumnFormula>_xlfn.IFNA(LOOKUP(2,1/(COUNTIF($F$6:F6,$K$15:$K$17)=0),$K$15:$K$17),"")</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3754783-574A-4C1E-8A05-946D708750F4}" name="Table7" displayName="Table7" ref="K32:L34" totalsRowShown="0">
  <autoFilter ref="K32:L34" xr:uid="{8D7B77D7-B3D6-4ECB-BA7F-1A87A7758C71}"/>
  <tableColumns count="2">
    <tableColumn id="1" xr3:uid="{EDC1DBD7-9AB3-484E-A5B1-81161727C6CB}" name="Temp Range" dataDxfId="45"/>
    <tableColumn id="2" xr3:uid="{E233BBDA-F390-43D3-AD55-38B6B127A797}" name="Selectio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0656C36-AE8A-4B82-A562-82D7188463E5}" name="Table8" displayName="Table8" ref="K36:L38" totalsRowShown="0" headerRowDxfId="44" headerRowBorderDxfId="43" tableBorderDxfId="42">
  <autoFilter ref="K36:L38" xr:uid="{7615E7DC-40A9-455F-B589-CF2817E76F15}"/>
  <tableColumns count="2">
    <tableColumn id="1" xr3:uid="{05422AE1-D40E-45F1-9237-8068C448965C}" name="Constant"/>
    <tableColumn id="2" xr3:uid="{1BF34AC5-60A4-46C0-B313-2541B06A3501}" name="Selectio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195245E-095E-46BD-B8E9-081099CE0711}" name="Table9" displayName="Table9" ref="K41:L46" totalsRowShown="0" tableBorderDxfId="41">
  <autoFilter ref="K41:L46" xr:uid="{847F771C-D721-4633-9DF4-EC6F18A2FF7D}"/>
  <sortState xmlns:xlrd2="http://schemas.microsoft.com/office/spreadsheetml/2017/richdata2" ref="K42:L46">
    <sortCondition descending="1" ref="K41:K46"/>
  </sortState>
  <tableColumns count="2">
    <tableColumn id="1" xr3:uid="{29D83947-83C9-4F0D-94ED-20ECDE98F1F1}" name="Height" dataDxfId="40"/>
    <tableColumn id="2" xr3:uid="{F3AB723C-DB46-498B-93FF-37E956C198EC}" name="Selectio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9D2DD02-C4BE-4270-81E9-DECCD72A1100}" name="products_parts" displayName="products_parts" ref="A1:AL155" totalsRowShown="0" headerRowDxfId="39" dataDxfId="38">
  <autoFilter ref="A1:AL155" xr:uid="{D3F99D06-B7BE-4EF0-8ED2-95321DDC0BAA}"/>
  <sortState xmlns:xlrd2="http://schemas.microsoft.com/office/spreadsheetml/2017/richdata2" ref="A2:AL123">
    <sortCondition descending="1" ref="B1:B123"/>
  </sortState>
  <tableColumns count="38">
    <tableColumn id="40" xr3:uid="{7AF2F1AC-49C8-4B1B-BE5E-7AE36ECA5FB3}" name="Sort Price" dataDxfId="37">
      <calculatedColumnFormula>products_parts[[#This Row],[Total Price]]+ROW()*0.0001</calculatedColumnFormula>
    </tableColumn>
    <tableColumn id="75" xr3:uid="{4A155EA3-D146-4492-A087-3B0FDF72730D}" name="Cap" dataDxfId="36">
      <calculatedColumnFormula>products_parts[[#This Row],[cap_uf]]/1000000</calculatedColumnFormula>
    </tableColumn>
    <tableColumn id="17" xr3:uid="{8C710D40-19D5-4B0C-94D1-1003DD709E64}" name="Total Cap" dataDxfId="35">
      <calculatedColumnFormula>products_parts[[#This Row],[Cap]]*products_parts[Total Parallel]/products_parts[Cells in Series]</calculatedColumnFormula>
    </tableColumn>
    <tableColumn id="76" xr3:uid="{72B8ED94-8103-4EF7-A4FF-7C471A8D5B9F}" name="Volume (L)" dataDxfId="34">
      <calculatedColumnFormula>PI()*((products_parts[[#This Row],[diameter]]/2)^2)*products_parts[[#This Row],[length]]/1000000</calculatedColumnFormula>
    </tableColumn>
    <tableColumn id="29" xr3:uid="{E76DB0D4-3745-4A3B-8D5F-6337D604A723}" name="Calculated Volume" dataDxfId="33">
      <calculatedColumnFormula>IF(products_parts[[#This Row],[Volume (L)]]=0,products_parts[[#This Row],[Height]]*products_parts[[#This Row],[length]]*products_parts[[#This Row],[Width Total]]/1000000,products_parts[[#This Row],[Volume (L)]])</calculatedColumnFormula>
    </tableColumn>
    <tableColumn id="19" xr3:uid="{5402A57A-585D-4265-AD36-1ADD6426B1AF}" name="Total ESR" dataDxfId="32">
      <calculatedColumnFormula>products_parts[esr_dc]*products_parts[Cells in Series]/products_parts[Total Parallel]</calculatedColumnFormula>
    </tableColumn>
    <tableColumn id="18" xr3:uid="{8AA92509-4377-4E1E-B9B4-E9C56E04C72E}" name="Height" dataDxfId="31">
      <calculatedColumnFormula>IF(products_parts[[#This Row],[height2]]=0,products_parts[[#This Row],[length]]-products_parts[[#This Row],[lead_space_s]],products_parts[[#This Row],[height2]])</calculatedColumnFormula>
    </tableColumn>
    <tableColumn id="36" xr3:uid="{C928A0CD-45B4-4D5A-A4CB-5EC60691B146}" name="Width Total" dataDxfId="30">
      <calculatedColumnFormula>IF(products_parts[[#This Row],[thickness]]=0,IF(products_parts[[#This Row],[width]]=0,products_parts[[#This Row],[diameter]],products_parts[[#This Row],[width]]),products_parts[[#This Row],[thickness]])</calculatedColumnFormula>
    </tableColumn>
    <tableColumn id="78" xr3:uid="{973B3B48-A693-4D94-9F1A-34DE0992D806}" name="Cells in Series" dataDxfId="29">
      <calculatedColumnFormula>IF(products_parts[[#This Row],[voltage]]=0,1000,ROUNDUP(WorkingV/products_parts[Operating Voltage (temp)],0))</calculatedColumnFormula>
    </tableColumn>
    <tableColumn id="79" xr3:uid="{BA878912-4A03-462E-BF5D-7181B590764D}" name="Cells in Parallel" dataDxfId="28">
      <calculatedColumnFormula>ROUNDUP(Constant/(WorkingV-MinV)*((products_parts[esr_dc]/1000*products_parts[[#This Row],[Cap]])+Time)*products_parts[[#This Row],[Cells in Series]]/products_parts[[#This Row],[Cap]],0)</calculatedColumnFormula>
    </tableColumn>
    <tableColumn id="3" xr3:uid="{ACF302E3-BF2B-4D0A-9631-947F12CD0106}" name="Parallel CP" dataDxfId="27" dataCellStyle="Currency">
      <calculatedColumnFormula>ROUNDUP(((Constant/WorkingV+Constant/MinV)/2)*(((products_parts[esr_dc]/1000*products_parts[Cap]))+Time)/(WorkingV-MinV)*(products_parts[[#This Row],[Cells in Series]]/products_parts[Cap]),0)</calculatedColumnFormula>
    </tableColumn>
    <tableColumn id="15" xr3:uid="{6FF5B8E2-9312-44FD-9627-EEB651F7C897}" name="Total Parallel" dataDxfId="26" dataCellStyle="Currency">
      <calculatedColumnFormula>IF(Calculations!$J$2=1,products_parts[Cells in Parallel],products_parts[Parallel CP])</calculatedColumnFormula>
    </tableColumn>
    <tableColumn id="82" xr3:uid="{1E4D4F43-A4CA-4843-A2ED-318D2FA4EA39}" name="Total # of Caps" dataDxfId="25">
      <calculatedColumnFormula>products_parts[[#This Row],[Cells in Series]]*products_parts[[#This Row],[Total Parallel]]</calculatedColumnFormula>
    </tableColumn>
    <tableColumn id="2" xr3:uid="{A05D867C-72C9-4B79-B303-EB4196FAEAAE}" name="Total Price" dataDxfId="24" dataCellStyle="Currency">
      <calculatedColumnFormula>products_parts[[#This Row],[Price per Cell]]*products_parts[[#This Row],[Total '# of Caps]]</calculatedColumnFormula>
    </tableColumn>
    <tableColumn id="7" xr3:uid="{92901995-8A2E-4BED-B14F-6A1C40D88548}" name="Total Volume" dataDxfId="23" dataCellStyle="Currency">
      <calculatedColumnFormula>products_parts[[#This Row],[Calculated Volume]]*products_parts[[#This Row],[Total '# of Caps]]</calculatedColumnFormula>
    </tableColumn>
    <tableColumn id="8" xr3:uid="{F4B58463-8CE3-48E6-9303-7ABE2A0D9C75}" name="Total Weight" dataDxfId="22" dataCellStyle="Currency">
      <calculatedColumnFormula>products_parts[[#This Row],[weight]]*products_parts[[#This Row],[Total '# of Caps]]</calculatedColumnFormula>
    </tableColumn>
    <tableColumn id="9" xr3:uid="{C21FE309-7367-4969-AD61-55F5972278E1}" name="Height Limit" dataDxfId="21" dataCellStyle="Currency">
      <calculatedColumnFormula>AND(products_parts[[#This Row],[Height]]&gt;MIN(Calculations!$K$2,Calculations!$L$2),products_parts[[#This Row],[Height]]&lt;MAX(Calculations!$K$2,Calculations!$L$2))</calculatedColumnFormula>
    </tableColumn>
    <tableColumn id="5" xr3:uid="{66950D59-5564-41D5-986E-A223167AA0C9}" name="Cell or Module" dataDxfId="20">
      <calculatedColumnFormula>IF(ISNUMBER(SEARCH("TPL",products_parts[[#This Row],[series]])),1,IF(products_parts[[#This Row],[series]]="PC",1,IF(ISNUMBER(SEARCH("PBL",products_parts[[#This Row],[series]])),2,2)))</calculatedColumnFormula>
    </tableColumn>
    <tableColumn id="28" xr3:uid="{88C3CF4D-E16C-489B-9F48-33BF3726A857}" name="Max Temp Capable" dataDxfId="19" dataCellStyle="Currency">
      <calculatedColumnFormula>IF(TempRange=2,IF(products_parts[[#This Row],[voltage2]]=0,"0","1"),"1")</calculatedColumnFormula>
    </tableColumn>
    <tableColumn id="45" xr3:uid="{C0B1117C-3573-4185-97CE-40FD8CC72119}" name="Operating Voltage (temp)" dataDxfId="18" dataCellStyle="Currency">
      <calculatedColumnFormula>IF(TempRange=1,products_parts[voltage],products_parts[voltage2])</calculatedColumnFormula>
    </tableColumn>
    <tableColumn id="20" xr3:uid="{3211894D-934B-4FA6-8053-E321CB328980}" name="Clean Series" dataDxfId="17">
      <calculatedColumnFormula>IF(ISNUMBER(SEARCH("PBL ",products_parts[series])),"PBL",products_parts[series])</calculatedColumnFormula>
    </tableColumn>
    <tableColumn id="1" xr3:uid="{B41C1156-4D7B-4516-B758-8E2CC58019E3}" name="series" dataDxfId="16"/>
    <tableColumn id="4" xr3:uid="{4AE2B2B1-3375-43F3-A470-7EE3B45EEEA5}" name="part_number" dataDxfId="15"/>
    <tableColumn id="6" xr3:uid="{F5BB2C41-4979-4B26-B428-1BB30EF46583}" name="voltage" dataDxfId="14"/>
    <tableColumn id="11" xr3:uid="{481418BD-D263-464E-8273-FB82EC29374C}" name="voltage2" dataDxfId="13"/>
    <tableColumn id="10" xr3:uid="{6B463E38-B62A-4EF4-8F24-CE520B46D590}" name="cap_uf" dataDxfId="12"/>
    <tableColumn id="44" xr3:uid="{DA25089B-B7CA-4C74-8095-E3E289F40EF2}" name="esr_dc" dataDxfId="11"/>
    <tableColumn id="16" xr3:uid="{451EA601-B1A9-409E-872C-5CD81504E04C}" name="leakage_c" dataDxfId="10"/>
    <tableColumn id="23" xr3:uid="{2AC003A5-F1C4-4934-B962-4840629AA0FE}" name="diameter" dataDxfId="9"/>
    <tableColumn id="26" xr3:uid="{61439386-BBE6-4681-83FF-CDA6D5BB071E}" name="length" dataDxfId="8"/>
    <tableColumn id="14" xr3:uid="{7EFEF95C-97D6-4146-B6A2-7C2AC9CF79CA}" name="width" dataDxfId="7"/>
    <tableColumn id="32" xr3:uid="{6C9C5F9C-A98B-4986-8E53-8C84902B0145}" name="height2" dataDxfId="6"/>
    <tableColumn id="34" xr3:uid="{147EA061-1EFE-4BA5-9BB3-E177E87249C9}" name="thickness" dataDxfId="5"/>
    <tableColumn id="12" xr3:uid="{281CA4AE-0F8D-4F64-A735-C2B0B5D937EE}" name="lead_space_s" dataDxfId="4"/>
    <tableColumn id="49" xr3:uid="{3F2C0A0F-C640-4658-8B3D-F8FB59021AD9}" name="max_op_temp" dataDxfId="3"/>
    <tableColumn id="13" xr3:uid="{FD465AE1-9C10-40AD-8A8B-5CEB0F35370C}" name="max_op_temp2" dataDxfId="2"/>
    <tableColumn id="59" xr3:uid="{8AE0C70C-4AF5-431C-8A7B-4C8201B11CF9}" name="weight" dataDxfId="1"/>
    <tableColumn id="77" xr3:uid="{E741C21E-1A8F-428A-8342-C86812662BAA}" name="Price per Cell"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pivotTable" Target="../pivotTables/pivotTable3.xml"/><Relationship Id="rId7" Type="http://schemas.openxmlformats.org/officeDocument/2006/relationships/table" Target="../tables/table2.xml"/><Relationship Id="rId12" Type="http://schemas.microsoft.com/office/2007/relationships/slicer" Target="../slicers/slicer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table" Target="../tables/table1.xml"/><Relationship Id="rId11" Type="http://schemas.openxmlformats.org/officeDocument/2006/relationships/table" Target="../tables/table6.xml"/><Relationship Id="rId5" Type="http://schemas.openxmlformats.org/officeDocument/2006/relationships/drawing" Target="../drawings/drawing2.xml"/><Relationship Id="rId10" Type="http://schemas.openxmlformats.org/officeDocument/2006/relationships/table" Target="../tables/table5.xml"/><Relationship Id="rId4" Type="http://schemas.openxmlformats.org/officeDocument/2006/relationships/printerSettings" Target="../printerSettings/printerSettings2.bin"/><Relationship Id="rId9" Type="http://schemas.openxmlformats.org/officeDocument/2006/relationships/table" Target="../tables/table4.xml"/></Relationships>
</file>

<file path=xl/worksheets/_rels/sheet3.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A126F-B38E-460A-9FA9-26048A0B8E60}">
  <sheetPr codeName="Sheet1"/>
  <dimension ref="A1:N42"/>
  <sheetViews>
    <sheetView showGridLines="0" showRowColHeaders="0" tabSelected="1" workbookViewId="0">
      <selection activeCell="D7" sqref="D7"/>
    </sheetView>
  </sheetViews>
  <sheetFormatPr defaultRowHeight="15" x14ac:dyDescent="0.25"/>
  <cols>
    <col min="1" max="1" width="4.42578125" customWidth="1"/>
    <col min="2" max="2" width="5" customWidth="1"/>
    <col min="3" max="3" width="19.7109375" customWidth="1"/>
    <col min="4" max="4" width="17.42578125" customWidth="1"/>
    <col min="5" max="5" width="13.28515625" bestFit="1" customWidth="1"/>
    <col min="6" max="6" width="19.85546875" bestFit="1" customWidth="1"/>
    <col min="7" max="7" width="13.140625" customWidth="1"/>
    <col min="8" max="9" width="14" style="1" bestFit="1" customWidth="1"/>
    <col min="10" max="10" width="11.85546875" style="1" bestFit="1" customWidth="1"/>
    <col min="11" max="11" width="11.42578125" style="1" bestFit="1" customWidth="1"/>
    <col min="12" max="12" width="10.140625" bestFit="1" customWidth="1"/>
  </cols>
  <sheetData>
    <row r="1" spans="1:14" ht="14.25" x14ac:dyDescent="0.25">
      <c r="A1" s="32"/>
      <c r="B1" s="21"/>
      <c r="C1" s="21"/>
      <c r="D1" s="21"/>
      <c r="E1" s="21"/>
      <c r="F1" s="21"/>
      <c r="G1" s="21"/>
      <c r="H1" s="22"/>
      <c r="I1" s="23"/>
    </row>
    <row r="2" spans="1:14" ht="14.25" x14ac:dyDescent="0.25">
      <c r="A2" s="33"/>
      <c r="B2" s="19"/>
      <c r="C2" s="19"/>
      <c r="D2" s="19"/>
      <c r="E2" s="19"/>
      <c r="F2" s="19"/>
      <c r="G2" s="19"/>
      <c r="H2" s="34"/>
      <c r="I2" s="35"/>
    </row>
    <row r="3" spans="1:14" ht="14.25" x14ac:dyDescent="0.25">
      <c r="A3" s="33"/>
      <c r="B3" s="19"/>
      <c r="C3" s="19"/>
      <c r="D3" s="19"/>
      <c r="E3" s="19"/>
      <c r="F3" s="19"/>
      <c r="G3" s="19"/>
      <c r="H3" s="34"/>
      <c r="I3" s="35"/>
    </row>
    <row r="4" spans="1:14" ht="14.25" x14ac:dyDescent="0.25">
      <c r="A4" s="33"/>
      <c r="B4" s="19"/>
      <c r="C4" s="19"/>
      <c r="D4" s="19"/>
      <c r="E4" s="19"/>
      <c r="F4" s="19"/>
      <c r="G4" s="19"/>
      <c r="H4" s="34"/>
      <c r="I4" s="35"/>
    </row>
    <row r="5" spans="1:14" ht="8.1" customHeight="1" x14ac:dyDescent="0.25">
      <c r="A5" s="19"/>
      <c r="B5" s="19"/>
      <c r="C5" s="19"/>
      <c r="D5" s="19"/>
      <c r="E5" s="19"/>
      <c r="F5" s="19"/>
      <c r="G5" s="19"/>
      <c r="H5" s="34"/>
      <c r="I5" s="34"/>
    </row>
    <row r="6" spans="1:14" ht="15.6" x14ac:dyDescent="0.25">
      <c r="A6" s="123" t="s">
        <v>43</v>
      </c>
      <c r="B6" s="123"/>
      <c r="C6" s="123"/>
      <c r="D6" s="124" t="s">
        <v>44</v>
      </c>
      <c r="E6" s="124"/>
      <c r="F6" s="100"/>
      <c r="G6" s="100"/>
      <c r="H6" s="102"/>
      <c r="I6" s="102"/>
      <c r="J6" s="103"/>
      <c r="K6" s="103"/>
      <c r="L6" s="39"/>
      <c r="M6" s="39"/>
      <c r="N6" s="39"/>
    </row>
    <row r="7" spans="1:14" ht="16.350000000000001" x14ac:dyDescent="0.3">
      <c r="A7" s="125" t="s">
        <v>45</v>
      </c>
      <c r="B7" s="121"/>
      <c r="C7" s="122"/>
      <c r="D7" s="118">
        <v>12</v>
      </c>
      <c r="E7" s="117" t="s">
        <v>46</v>
      </c>
      <c r="F7" s="100"/>
      <c r="G7" s="100"/>
      <c r="H7" s="102"/>
      <c r="I7" s="102"/>
      <c r="J7" s="103"/>
      <c r="K7" s="103"/>
      <c r="L7" s="39"/>
      <c r="M7" s="39"/>
      <c r="N7" s="39"/>
    </row>
    <row r="8" spans="1:14" ht="16.350000000000001" x14ac:dyDescent="0.3">
      <c r="A8" s="120" t="s">
        <v>47</v>
      </c>
      <c r="B8" s="121"/>
      <c r="C8" s="122"/>
      <c r="D8" s="118">
        <v>10</v>
      </c>
      <c r="E8" s="117" t="s">
        <v>46</v>
      </c>
      <c r="F8" s="100"/>
      <c r="G8" s="100"/>
      <c r="H8" s="102"/>
      <c r="I8" s="102"/>
      <c r="J8" s="103"/>
      <c r="K8" s="103"/>
      <c r="L8" s="39"/>
      <c r="M8" s="39"/>
      <c r="N8" s="39"/>
    </row>
    <row r="9" spans="1:14" ht="16.350000000000001" x14ac:dyDescent="0.3">
      <c r="A9" s="126" t="str">
        <f>"Constant " &amp; Calculations!N37</f>
        <v>Constant Current (I)</v>
      </c>
      <c r="B9" s="127"/>
      <c r="C9" s="128"/>
      <c r="D9" s="118">
        <v>5</v>
      </c>
      <c r="E9" s="117" t="str">
        <f>IF(Calculations!N37="Current (I)","Amps","Watts")</f>
        <v>Amps</v>
      </c>
      <c r="F9" s="100"/>
      <c r="G9" s="100"/>
      <c r="H9" s="102"/>
      <c r="I9" s="102"/>
      <c r="J9" s="103"/>
      <c r="K9" s="103"/>
      <c r="L9" s="39"/>
      <c r="M9" s="39"/>
      <c r="N9" s="39"/>
    </row>
    <row r="10" spans="1:14" ht="16.350000000000001" x14ac:dyDescent="0.3">
      <c r="A10" s="120" t="s">
        <v>48</v>
      </c>
      <c r="B10" s="121"/>
      <c r="C10" s="122"/>
      <c r="D10" s="118">
        <v>10</v>
      </c>
      <c r="E10" s="117" t="s">
        <v>49</v>
      </c>
      <c r="F10" s="103"/>
      <c r="G10" s="39"/>
      <c r="H10" s="39"/>
      <c r="I10" s="39"/>
      <c r="J10"/>
      <c r="K10"/>
    </row>
    <row r="11" spans="1:14" ht="14.25" x14ac:dyDescent="0.25">
      <c r="A11" s="100"/>
      <c r="B11" s="100"/>
      <c r="C11" s="102"/>
      <c r="D11" s="102"/>
      <c r="E11" s="103"/>
      <c r="F11" s="103"/>
      <c r="G11" s="39"/>
      <c r="H11" s="39"/>
      <c r="I11" s="39"/>
      <c r="J11"/>
      <c r="K11"/>
    </row>
    <row r="12" spans="1:14" ht="27.95" customHeight="1" x14ac:dyDescent="0.25">
      <c r="F12" s="100"/>
      <c r="G12" s="100"/>
      <c r="H12" s="102"/>
      <c r="I12" s="102"/>
      <c r="J12" s="103"/>
      <c r="K12" s="103"/>
      <c r="L12" s="39"/>
      <c r="M12" s="39"/>
      <c r="N12" s="39"/>
    </row>
    <row r="13" spans="1:14" ht="23.85" x14ac:dyDescent="0.4">
      <c r="A13" s="100"/>
      <c r="B13" s="100"/>
      <c r="C13" s="104" t="s">
        <v>188</v>
      </c>
      <c r="D13" s="100"/>
      <c r="E13" s="100"/>
      <c r="F13" s="100"/>
      <c r="G13" s="102"/>
      <c r="H13" s="102"/>
      <c r="I13" s="102"/>
      <c r="J13" s="103"/>
      <c r="K13" s="39"/>
      <c r="L13" s="39"/>
      <c r="M13" s="39"/>
      <c r="N13" s="39"/>
    </row>
    <row r="14" spans="1:14" ht="14.25" x14ac:dyDescent="0.25">
      <c r="A14" s="100"/>
      <c r="B14" s="100"/>
      <c r="C14" s="5" t="s">
        <v>51</v>
      </c>
      <c r="D14" s="5" t="s">
        <v>183</v>
      </c>
      <c r="E14" s="5" t="s">
        <v>168</v>
      </c>
      <c r="F14" s="5" t="s">
        <v>169</v>
      </c>
      <c r="G14" s="5" t="s">
        <v>170</v>
      </c>
      <c r="H14" s="5" t="s">
        <v>171</v>
      </c>
      <c r="I14" s="74" t="s">
        <v>189</v>
      </c>
      <c r="J14" s="74" t="s">
        <v>207</v>
      </c>
      <c r="K14" s="74" t="s">
        <v>206</v>
      </c>
      <c r="L14" s="39"/>
      <c r="M14" s="39"/>
      <c r="N14" s="39"/>
    </row>
    <row r="15" spans="1:14" ht="14.25" x14ac:dyDescent="0.25">
      <c r="A15" s="100"/>
      <c r="B15" s="100"/>
      <c r="C15" s="100" t="str">
        <f>_xlfn.IFNA(VLOOKUP(IF(Calculations!$O11&lt;10000,Calculations!$O11,""),products_parts[],COLUMN(products_parts[part_number]),FALSE),"")</f>
        <v>TPLH-3R0/350SS35X61</v>
      </c>
      <c r="D15" s="101">
        <f>_xlfn.IFNA(VLOOKUP(IF(Calculations!$O11&lt;10000,Calculations!$O11,""),products_parts[],COLUMN(products_parts[Operating Voltage (temp)]),FALSE),"")</f>
        <v>3</v>
      </c>
      <c r="E15" s="49">
        <f>_xlfn.IFNA(VLOOKUP(IF(Calculations!$O11&lt;10000,Calculations!$O11,""),products_parts[],COLUMN(products_parts[Cells in Series]),FALSE),"")</f>
        <v>4</v>
      </c>
      <c r="F15" s="49">
        <f>_xlfn.IFNA(VLOOKUP(IF(Calculations!$O11&lt;10000,Calculations!$O11,""),products_parts[],COLUMN(products_parts[Total Parallel]),FALSE),"")</f>
        <v>1</v>
      </c>
      <c r="G15" s="107">
        <f>_xlfn.IFNA(VLOOKUP(IF(Calculations!$O11&lt;10000,Calculations!$O11,""),products_parts[],COLUMN(products_parts[Total Cap]),FALSE),"")</f>
        <v>87.5</v>
      </c>
      <c r="H15" s="108">
        <f>_xlfn.IFNA(VLOOKUP(IF(Calculations!$O11&lt;10000,Calculations!$O11,""),products_parts[],COLUMN(products_parts[Total ESR]),FALSE),"")</f>
        <v>16</v>
      </c>
      <c r="I15" s="101">
        <f>_xlfn.IFNA(VLOOKUP(IF(Calculations!$O11&lt;10000,Calculations!$O11,""),products_parts[],COLUMN(products_parts[Height]),FALSE),"")</f>
        <v>61</v>
      </c>
      <c r="J15" s="101">
        <f>_xlfn.IFNA(VLOOKUP(IF(Calculations!$O11&lt;10000,Calculations!$O11,""),products_parts[],COLUMN(products_parts[length]),FALSE),"")</f>
        <v>61</v>
      </c>
      <c r="K15" s="101">
        <f>_xlfn.IFNA(VLOOKUP(IF(Calculations!$O11&lt;10000,Calculations!$O11,""),products_parts[],COLUMN(products_parts[diameter]),FALSE),"")</f>
        <v>35</v>
      </c>
      <c r="L15" s="39"/>
      <c r="M15" s="39"/>
      <c r="N15" s="39"/>
    </row>
    <row r="16" spans="1:14" ht="14.25" x14ac:dyDescent="0.25">
      <c r="A16" s="100"/>
      <c r="B16" s="100"/>
      <c r="C16" s="100"/>
      <c r="D16" s="100"/>
      <c r="E16" s="100"/>
      <c r="F16" s="100"/>
      <c r="G16" s="102"/>
      <c r="H16" s="102"/>
      <c r="I16" s="102"/>
      <c r="J16" s="103"/>
      <c r="K16" s="39"/>
      <c r="L16" s="39"/>
      <c r="M16" s="39"/>
      <c r="N16" s="39"/>
    </row>
    <row r="17" spans="1:14" ht="23.85" x14ac:dyDescent="0.4">
      <c r="A17" s="100"/>
      <c r="B17" s="100"/>
      <c r="C17" s="104" t="s">
        <v>179</v>
      </c>
      <c r="D17" s="100"/>
      <c r="E17" s="100"/>
      <c r="F17" s="100"/>
      <c r="G17" s="102"/>
      <c r="H17" s="102"/>
      <c r="I17" s="102"/>
      <c r="J17" s="103"/>
      <c r="K17" s="39"/>
      <c r="L17" s="39"/>
      <c r="M17" s="39"/>
      <c r="N17" s="39"/>
    </row>
    <row r="18" spans="1:14" ht="14.25" x14ac:dyDescent="0.25">
      <c r="A18" s="100"/>
      <c r="B18" s="100"/>
      <c r="C18" s="5" t="s">
        <v>51</v>
      </c>
      <c r="D18" s="5" t="s">
        <v>195</v>
      </c>
      <c r="E18" s="5" t="s">
        <v>168</v>
      </c>
      <c r="F18" s="5" t="s">
        <v>169</v>
      </c>
      <c r="G18" s="5" t="s">
        <v>170</v>
      </c>
      <c r="H18" s="5" t="s">
        <v>171</v>
      </c>
      <c r="I18" s="74" t="s">
        <v>189</v>
      </c>
      <c r="J18" s="74" t="s">
        <v>207</v>
      </c>
      <c r="K18" s="74" t="s">
        <v>205</v>
      </c>
      <c r="L18" s="39"/>
      <c r="M18" s="39"/>
      <c r="N18" s="39"/>
    </row>
    <row r="19" spans="1:14" ht="14.25" x14ac:dyDescent="0.25">
      <c r="A19" s="100"/>
      <c r="B19" s="100"/>
      <c r="C19" s="48" t="str">
        <f>_xlfn.IFNA(VLOOKUP(IF(AND(Calculations!$A21&lt;4,Calculations!$B21&lt;100000),Calculations!$B21,""),products_parts[],COLUMN(products_parts[part_number]),FALSE),"")</f>
        <v>PBLH-12R0/87WT</v>
      </c>
      <c r="D19" s="49">
        <f>_xlfn.IFNA(VLOOKUP(IF(AND(Calculations!$A21&lt;4,Calculations!$B21&lt;100000),Calculations!$B21,""),products_parts[],COLUMN(products_parts[Operating Voltage (temp)]),FALSE),"")</f>
        <v>12</v>
      </c>
      <c r="E19" s="49">
        <f>_xlfn.IFNA(VLOOKUP(IF(AND(Calculations!$A21&lt;4,Calculations!$B21&lt;100000),Calculations!$B21,""),products_parts[],COLUMN(products_parts[Cells in Series]),FALSE),"")</f>
        <v>1</v>
      </c>
      <c r="F19" s="49">
        <f>_xlfn.IFNA(VLOOKUP(IF(AND(Calculations!$A21&lt;4,Calculations!$B21&lt;100000),Calculations!$B21,""),products_parts[],COLUMN(products_parts[Total Parallel]),FALSE),"")</f>
        <v>1</v>
      </c>
      <c r="G19" s="105">
        <f>_xlfn.IFNA(VLOOKUP(IF(AND(Calculations!$A21&lt;4,Calculations!$B21&lt;100000),Calculations!$B21,""),products_parts[],COLUMN(products_parts[Total Cap]),FALSE),"")</f>
        <v>87</v>
      </c>
      <c r="H19" s="106">
        <f>_xlfn.IFNA(VLOOKUP(IF(AND(Calculations!$A21&lt;4,Calculations!$B21&lt;100000),Calculations!$B21,""),products_parts[],COLUMN(products_parts[Total ESR]),FALSE),"")</f>
        <v>20</v>
      </c>
      <c r="I19" s="49">
        <f>_xlfn.IFNA(VLOOKUP(IF(AND(Calculations!$A21&lt;4,Calculations!$B21&lt;100000),Calculations!$B21,""),products_parts[],COLUMN(products_parts[Height]),FALSE),"")</f>
        <v>86</v>
      </c>
      <c r="J19" s="49">
        <f>_xlfn.IFNA(VLOOKUP(IF(AND(Calculations!$A21&lt;4,Calculations!$B21&lt;100000),Calculations!$B21,""),products_parts[],COLUMN(products_parts[length]),FALSE),"")</f>
        <v>168</v>
      </c>
      <c r="K19" s="49">
        <f>_xlfn.IFNA(VLOOKUP(IF(AND(Calculations!$A21&lt;4,Calculations!$B21&lt;100000),Calculations!$B21,""),products_parts[],COLUMN(products_parts[Width Total]),FALSE),"")</f>
        <v>42</v>
      </c>
      <c r="L19" s="39"/>
      <c r="M19" s="39"/>
      <c r="N19" s="39"/>
    </row>
    <row r="20" spans="1:14" ht="14.25" x14ac:dyDescent="0.25">
      <c r="A20" s="100"/>
      <c r="B20" s="100"/>
      <c r="C20" s="48" t="str">
        <f>_xlfn.IFNA(VLOOKUP(IF(AND(Calculations!$A22&lt;4,Calculations!$B22&lt;100000),Calculations!$B22,""),products_parts[],COLUMN(products_parts[part_number]),FALSE),"")</f>
        <v>PBLS-10/13.5</v>
      </c>
      <c r="D20" s="49">
        <f>_xlfn.IFNA(VLOOKUP(IF(AND(Calculations!$A22&lt;4,Calculations!$B22&lt;100000),Calculations!$B22,""),products_parts[],COLUMN(products_parts[Operating Voltage (temp)]),FALSE),"")</f>
        <v>13.5</v>
      </c>
      <c r="E20" s="49">
        <f>_xlfn.IFNA(VLOOKUP(IF(AND(Calculations!$A22&lt;4,Calculations!$B22&lt;100000),Calculations!$B22,""),products_parts[],COLUMN(products_parts[Cells in Series]),FALSE),"")</f>
        <v>1</v>
      </c>
      <c r="F20" s="49">
        <f>_xlfn.IFNA(VLOOKUP(IF(AND(Calculations!$A22&lt;4,Calculations!$B22&lt;100000),Calculations!$B22,""),products_parts[],COLUMN(products_parts[Total Parallel]),FALSE),"")</f>
        <v>3</v>
      </c>
      <c r="G20" s="105">
        <f>_xlfn.IFNA(VLOOKUP(IF(AND(Calculations!$A22&lt;4,Calculations!$B22&lt;100000),Calculations!$B22,""),products_parts[],COLUMN(products_parts[Total Cap]),FALSE),"")</f>
        <v>30</v>
      </c>
      <c r="H20" s="106">
        <f>_xlfn.IFNA(VLOOKUP(IF(AND(Calculations!$A22&lt;4,Calculations!$B22&lt;100000),Calculations!$B22,""),products_parts[],COLUMN(products_parts[Total ESR]),FALSE),"")</f>
        <v>53.333333333333336</v>
      </c>
      <c r="I20" s="49">
        <f>_xlfn.IFNA(VLOOKUP(IF(AND(Calculations!$A22&lt;4,Calculations!$B22&lt;100000),Calculations!$B22,""),products_parts[],COLUMN(products_parts[Height]),FALSE),"")</f>
        <v>66</v>
      </c>
      <c r="J20" s="49">
        <f>_xlfn.IFNA(VLOOKUP(IF(AND(Calculations!$A22&lt;4,Calculations!$B22&lt;100000),Calculations!$B22,""),products_parts[],COLUMN(products_parts[length]),FALSE),"")</f>
        <v>66</v>
      </c>
      <c r="K20" s="49">
        <f>_xlfn.IFNA(VLOOKUP(IF(AND(Calculations!$A22&lt;4,Calculations!$B22&lt;100000),Calculations!$B22,""),products_parts[],COLUMN(products_parts[Width Total]),FALSE),"")</f>
        <v>14</v>
      </c>
      <c r="L20" s="39"/>
      <c r="M20" s="39"/>
      <c r="N20" s="39"/>
    </row>
    <row r="21" spans="1:14" ht="14.25" x14ac:dyDescent="0.25">
      <c r="A21" s="100"/>
      <c r="B21" s="100"/>
      <c r="C21" s="48" t="str">
        <f>_xlfn.IFNA(VLOOKUP(IF(AND(Calculations!$A23&lt;4,Calculations!$B23&lt;100000),Calculations!$B23,""),products_parts[],COLUMN(products_parts[part_number]),FALSE),"")</f>
        <v>PBD-58/16.2K</v>
      </c>
      <c r="D21" s="49">
        <f>_xlfn.IFNA(VLOOKUP(IF(AND(Calculations!$A23&lt;4,Calculations!$B23&lt;100000),Calculations!$B23,""),products_parts[],COLUMN(products_parts[Operating Voltage (temp)]),FALSE),"")</f>
        <v>16.2</v>
      </c>
      <c r="E21" s="49">
        <f>_xlfn.IFNA(VLOOKUP(IF(AND(Calculations!$A23&lt;4,Calculations!$B23&lt;100000),Calculations!$B23,""),products_parts[],COLUMN(products_parts[Cells in Series]),FALSE),"")</f>
        <v>1</v>
      </c>
      <c r="F21" s="49">
        <f>_xlfn.IFNA(VLOOKUP(IF(AND(Calculations!$A23&lt;4,Calculations!$B23&lt;100000),Calculations!$B23,""),products_parts[],COLUMN(products_parts[Total Parallel]),FALSE),"")</f>
        <v>1</v>
      </c>
      <c r="G21" s="105">
        <f>_xlfn.IFNA(VLOOKUP(IF(AND(Calculations!$A23&lt;4,Calculations!$B23&lt;100000),Calculations!$B23,""),products_parts[],COLUMN(products_parts[Total Cap]),FALSE),"")</f>
        <v>58</v>
      </c>
      <c r="H21" s="106">
        <f>_xlfn.IFNA(VLOOKUP(IF(AND(Calculations!$A23&lt;4,Calculations!$B23&lt;100000),Calculations!$B23,""),products_parts[],COLUMN(products_parts[Total ESR]),FALSE),"")</f>
        <v>28</v>
      </c>
      <c r="I21" s="49">
        <f>_xlfn.IFNA(VLOOKUP(IF(AND(Calculations!$A23&lt;4,Calculations!$B23&lt;100000),Calculations!$B23,""),products_parts[],COLUMN(products_parts[Height]),FALSE),"")</f>
        <v>38</v>
      </c>
      <c r="J21" s="49">
        <f>_xlfn.IFNA(VLOOKUP(IF(AND(Calculations!$A23&lt;4,Calculations!$B23&lt;100000),Calculations!$B23,""),products_parts[],COLUMN(products_parts[length]),FALSE),"")</f>
        <v>229</v>
      </c>
      <c r="K21" s="49">
        <f>_xlfn.IFNA(VLOOKUP(IF(AND(Calculations!$A23&lt;4,Calculations!$B23&lt;100000),Calculations!$B23,""),products_parts[],COLUMN(products_parts[Width Total]),FALSE),"")</f>
        <v>68</v>
      </c>
      <c r="L21" s="39"/>
      <c r="M21" s="39"/>
      <c r="N21" s="39"/>
    </row>
    <row r="22" spans="1:14" ht="14.25" x14ac:dyDescent="0.25">
      <c r="A22" s="100"/>
      <c r="B22" s="100"/>
      <c r="C22" s="48" t="str">
        <f>_xlfn.IFNA(VLOOKUP(IF(AND(Calculations!$A24&lt;4,Calculations!$B24&lt;100000),Calculations!$B24,""),products_parts[],COLUMN(products_parts[part_number]),FALSE),"")</f>
        <v>PBL-25/16.2</v>
      </c>
      <c r="D22" s="49">
        <f>_xlfn.IFNA(VLOOKUP(IF(AND(Calculations!$A24&lt;4,Calculations!$B24&lt;100000),Calculations!$B24,""),products_parts[],COLUMN(products_parts[Operating Voltage (temp)]),FALSE),"")</f>
        <v>16.2</v>
      </c>
      <c r="E22" s="49">
        <f>_xlfn.IFNA(VLOOKUP(IF(AND(Calculations!$A24&lt;4,Calculations!$B24&lt;100000),Calculations!$B24,""),products_parts[],COLUMN(products_parts[Cells in Series]),FALSE),"")</f>
        <v>1</v>
      </c>
      <c r="F22" s="49">
        <f>_xlfn.IFNA(VLOOKUP(IF(AND(Calculations!$A24&lt;4,Calculations!$B24&lt;100000),Calculations!$B24,""),products_parts[],COLUMN(products_parts[Total Parallel]),FALSE),"")</f>
        <v>2</v>
      </c>
      <c r="G22" s="105">
        <f>_xlfn.IFNA(VLOOKUP(IF(AND(Calculations!$A24&lt;4,Calculations!$B24&lt;100000),Calculations!$B24,""),products_parts[],COLUMN(products_parts[Total Cap]),FALSE),"")</f>
        <v>50</v>
      </c>
      <c r="H22" s="106">
        <f>_xlfn.IFNA(VLOOKUP(IF(AND(Calculations!$A24&lt;4,Calculations!$B24&lt;100000),Calculations!$B24,""),products_parts[],COLUMN(products_parts[Total ESR]),FALSE),"")</f>
        <v>43</v>
      </c>
      <c r="I22" s="49">
        <f>_xlfn.IFNA(VLOOKUP(IF(AND(Calculations!$A24&lt;4,Calculations!$B24&lt;100000),Calculations!$B24,""),products_parts[],COLUMN(products_parts[Height]),FALSE),"")</f>
        <v>57</v>
      </c>
      <c r="J22" s="49">
        <f>_xlfn.IFNA(VLOOKUP(IF(AND(Calculations!$A24&lt;4,Calculations!$B24&lt;100000),Calculations!$B24,""),products_parts[],COLUMN(products_parts[length]),FALSE),"")</f>
        <v>95</v>
      </c>
      <c r="K22" s="49">
        <f>_xlfn.IFNA(VLOOKUP(IF(AND(Calculations!$A24&lt;4,Calculations!$B24&lt;100000),Calculations!$B24,""),products_parts[],COLUMN(products_parts[Width Total]),FALSE),"")</f>
        <v>52</v>
      </c>
      <c r="L22" s="39"/>
      <c r="M22" s="39"/>
      <c r="N22" s="39"/>
    </row>
    <row r="23" spans="1:14" ht="14.25" x14ac:dyDescent="0.25">
      <c r="A23" s="100"/>
      <c r="B23" s="100"/>
      <c r="C23" s="48" t="str">
        <f>_xlfn.IFNA(VLOOKUP(IF(AND(Calculations!$A25&lt;4,Calculations!$B25&lt;100000),Calculations!$B25,""),products_parts[],COLUMN(products_parts[part_number]),FALSE),"")</f>
        <v>PBLL-15.0/5.4</v>
      </c>
      <c r="D23" s="49">
        <f>_xlfn.IFNA(VLOOKUP(IF(AND(Calculations!$A25&lt;4,Calculations!$B25&lt;100000),Calculations!$B25,""),products_parts[],COLUMN(products_parts[Operating Voltage (temp)]),FALSE),"")</f>
        <v>5.4</v>
      </c>
      <c r="E23" s="49">
        <f>_xlfn.IFNA(VLOOKUP(IF(AND(Calculations!$A25&lt;4,Calculations!$B25&lt;100000),Calculations!$B25,""),products_parts[],COLUMN(products_parts[Cells in Series]),FALSE),"")</f>
        <v>3</v>
      </c>
      <c r="F23" s="49">
        <f>_xlfn.IFNA(VLOOKUP(IF(AND(Calculations!$A25&lt;4,Calculations!$B25&lt;100000),Calculations!$B25,""),products_parts[],COLUMN(products_parts[Total Parallel]),FALSE),"")</f>
        <v>7</v>
      </c>
      <c r="G23" s="49">
        <f>_xlfn.IFNA(VLOOKUP(IF(AND(Calculations!$A25&lt;4,Calculations!$B25&lt;100000),Calculations!$B25,""),products_parts[],COLUMN(products_parts[Total Cap]),FALSE),"")</f>
        <v>35</v>
      </c>
      <c r="H23" s="49">
        <f>_xlfn.IFNA(VLOOKUP(IF(AND(Calculations!$A25&lt;4,Calculations!$B25&lt;100000),Calculations!$B25,""),products_parts[],COLUMN(products_parts[Total ESR]),FALSE),"")</f>
        <v>57.857142857142854</v>
      </c>
      <c r="I23" s="49">
        <f>_xlfn.IFNA(VLOOKUP(IF(AND(Calculations!$A25&lt;4,Calculations!$B25&lt;100000),Calculations!$B25,""),products_parts[],COLUMN(products_parts[Height]),FALSE),"")</f>
        <v>34.5</v>
      </c>
      <c r="J23" s="49">
        <f>_xlfn.IFNA(VLOOKUP(IF(AND(Calculations!$A25&lt;4,Calculations!$B25&lt;100000),Calculations!$B25,""),products_parts[],COLUMN(products_parts[length]),FALSE),"")</f>
        <v>34.5</v>
      </c>
      <c r="K23" s="49">
        <f>_xlfn.IFNA(VLOOKUP(IF(AND(Calculations!$A25&lt;4,Calculations!$B25&lt;100000),Calculations!$B25,""),products_parts[],COLUMN(products_parts[Width Total]),FALSE),"")</f>
        <v>34</v>
      </c>
      <c r="L23" s="39"/>
      <c r="M23" s="39"/>
      <c r="N23" s="39"/>
    </row>
    <row r="24" spans="1:14" ht="14.25" x14ac:dyDescent="0.25">
      <c r="A24" s="100"/>
      <c r="B24" s="48"/>
      <c r="C24" s="48" t="str">
        <f>_xlfn.IFNA(VLOOKUP(IF(AND(Calculations!$A26&lt;4,Calculations!$B26&lt;100000),Calculations!$B26,""),products_parts[],COLUMN(products_parts[part_number]),FALSE),"")</f>
        <v/>
      </c>
      <c r="D24" s="49" t="str">
        <f>_xlfn.IFNA(VLOOKUP(IF(AND(Calculations!$A26&lt;4,Calculations!$B26&lt;100000),Calculations!$B26,""),products_parts[],COLUMN(products_parts[Operating Voltage (temp)]),FALSE),"")</f>
        <v/>
      </c>
      <c r="E24" s="49" t="str">
        <f>_xlfn.IFNA(VLOOKUP(IF(AND(Calculations!$A26&lt;4,Calculations!$B26&lt;100000),Calculations!$B26,""),products_parts[],COLUMN(products_parts[Cells in Series]),FALSE),"")</f>
        <v/>
      </c>
      <c r="F24" s="49" t="str">
        <f>_xlfn.IFNA(VLOOKUP(IF(AND(Calculations!$A26&lt;4,Calculations!$B26&lt;100000),Calculations!$B26,""),products_parts[],COLUMN(products_parts[Total Parallel]),FALSE),"")</f>
        <v/>
      </c>
      <c r="G24" s="49" t="str">
        <f>_xlfn.IFNA(VLOOKUP(IF(AND(Calculations!$A26&lt;4,Calculations!$B26&lt;100000),Calculations!$B26,""),products_parts[],COLUMN(products_parts[Total Cap]),FALSE),"")</f>
        <v/>
      </c>
      <c r="H24" s="49" t="str">
        <f>_xlfn.IFNA(VLOOKUP(IF(AND(Calculations!$A26&lt;4,Calculations!$B26&lt;100000),Calculations!$B26,""),products_parts[],COLUMN(products_parts[Total ESR]),FALSE),"")</f>
        <v/>
      </c>
      <c r="I24" s="49" t="str">
        <f>_xlfn.IFNA(VLOOKUP(IF(AND(Calculations!$A26&lt;4,Calculations!$B26&lt;100000),Calculations!$B26,""),products_parts[],COLUMN(products_parts[Height]),FALSE),"")</f>
        <v/>
      </c>
      <c r="J24" s="49" t="str">
        <f>_xlfn.IFNA(VLOOKUP(IF(AND(Calculations!$A26&lt;4,Calculations!$B26&lt;100000),Calculations!$B26,""),products_parts[],COLUMN(products_parts[length]),FALSE),"")</f>
        <v/>
      </c>
      <c r="K24" s="49" t="str">
        <f>_xlfn.IFNA(VLOOKUP(IF(AND(Calculations!$A26&lt;4,Calculations!$B26&lt;100000),Calculations!$B26,""),products_parts[],COLUMN(products_parts[Width Total]),FALSE),"")</f>
        <v/>
      </c>
      <c r="L24" s="39"/>
      <c r="M24" s="39"/>
      <c r="N24" s="39"/>
    </row>
    <row r="25" spans="1:14" ht="14.25" x14ac:dyDescent="0.25">
      <c r="A25" s="100"/>
      <c r="B25" s="48"/>
      <c r="C25" s="49"/>
      <c r="D25" s="49"/>
      <c r="E25" s="49"/>
      <c r="F25" s="49"/>
      <c r="G25" s="49"/>
      <c r="H25" s="100"/>
      <c r="I25" s="100"/>
      <c r="J25" s="39"/>
      <c r="K25" s="39"/>
      <c r="L25" s="39"/>
      <c r="M25" s="39"/>
      <c r="N25" s="39"/>
    </row>
    <row r="26" spans="1:14" ht="14.25" x14ac:dyDescent="0.25">
      <c r="A26" s="100"/>
      <c r="B26" s="100"/>
      <c r="C26" s="100"/>
      <c r="D26" s="49" t="str">
        <f>_xlfn.IFNA(VLOOKUP(IF(Calculations!$B28&lt;100000,Calculations!$B28,""),products_parts[],39,FALSE),"")</f>
        <v/>
      </c>
      <c r="E26" s="100"/>
      <c r="F26" s="102"/>
      <c r="G26" s="102"/>
      <c r="H26" s="102"/>
      <c r="I26" s="102"/>
      <c r="J26" s="39"/>
      <c r="K26" s="39"/>
      <c r="L26" s="39"/>
      <c r="M26" s="39"/>
      <c r="N26" s="39"/>
    </row>
    <row r="27" spans="1:14" ht="14.25" x14ac:dyDescent="0.25">
      <c r="A27" s="100"/>
      <c r="B27" s="100"/>
      <c r="C27" s="100"/>
      <c r="D27" s="100"/>
      <c r="E27" s="100"/>
      <c r="F27" s="102"/>
      <c r="G27" s="102"/>
      <c r="H27" s="102"/>
      <c r="I27" s="102"/>
      <c r="J27" s="39"/>
      <c r="K27" s="39"/>
      <c r="L27" s="39"/>
      <c r="M27" s="39"/>
      <c r="N27" s="39"/>
    </row>
    <row r="28" spans="1:14" ht="21.2" x14ac:dyDescent="0.35">
      <c r="A28" s="100"/>
      <c r="B28" s="100"/>
      <c r="C28" s="100"/>
      <c r="D28" s="100"/>
      <c r="E28" s="31" t="s">
        <v>196</v>
      </c>
      <c r="F28" s="102"/>
      <c r="G28" s="102"/>
      <c r="H28" s="102"/>
      <c r="I28" s="102"/>
      <c r="J28" s="39"/>
      <c r="K28" s="39"/>
      <c r="L28" s="39"/>
      <c r="M28" s="39"/>
      <c r="N28" s="39"/>
    </row>
    <row r="29" spans="1:14" ht="21.2" x14ac:dyDescent="0.35">
      <c r="A29" s="100"/>
      <c r="B29" s="100"/>
      <c r="C29" s="100"/>
      <c r="D29" s="100"/>
      <c r="E29" s="31" t="s">
        <v>197</v>
      </c>
      <c r="F29" s="102"/>
      <c r="G29" s="102"/>
      <c r="H29" s="102"/>
      <c r="I29" s="102"/>
      <c r="J29" s="39"/>
      <c r="K29" s="39"/>
      <c r="L29" s="39"/>
      <c r="M29" s="39"/>
      <c r="N29" s="39"/>
    </row>
    <row r="30" spans="1:14" ht="21.2" x14ac:dyDescent="0.35">
      <c r="A30" s="100"/>
      <c r="B30" s="100"/>
      <c r="C30" s="100"/>
      <c r="D30" s="100"/>
      <c r="E30" s="31" t="s">
        <v>208</v>
      </c>
      <c r="F30" s="102"/>
      <c r="G30" s="102"/>
      <c r="H30" s="102"/>
      <c r="I30" s="102"/>
      <c r="J30" s="39"/>
      <c r="K30" s="39"/>
      <c r="L30" s="39"/>
      <c r="M30" s="39"/>
      <c r="N30" s="39"/>
    </row>
    <row r="31" spans="1:14" ht="14.25" x14ac:dyDescent="0.25">
      <c r="F31" s="1"/>
      <c r="G31" s="1"/>
      <c r="J31"/>
      <c r="K31"/>
    </row>
    <row r="32" spans="1:14" ht="14.25" x14ac:dyDescent="0.25">
      <c r="F32" s="1"/>
      <c r="G32" s="1"/>
      <c r="J32"/>
      <c r="K32"/>
    </row>
    <row r="33" spans="1:11" ht="14.25" x14ac:dyDescent="0.25">
      <c r="F33" s="1"/>
      <c r="G33" s="1"/>
      <c r="K33"/>
    </row>
    <row r="34" spans="1:11" ht="14.25" x14ac:dyDescent="0.25">
      <c r="F34" s="1"/>
      <c r="G34" s="1"/>
      <c r="J34"/>
      <c r="K34"/>
    </row>
    <row r="35" spans="1:11" ht="14.25" x14ac:dyDescent="0.25">
      <c r="A35" s="36" t="s">
        <v>198</v>
      </c>
      <c r="F35" s="1"/>
      <c r="G35" s="1"/>
      <c r="J35"/>
      <c r="K35"/>
    </row>
    <row r="36" spans="1:11" ht="14.25" x14ac:dyDescent="0.25">
      <c r="A36" s="36" t="s">
        <v>199</v>
      </c>
      <c r="F36" s="1"/>
      <c r="G36" s="1"/>
      <c r="J36"/>
      <c r="K36"/>
    </row>
    <row r="37" spans="1:11" ht="14.25" x14ac:dyDescent="0.25">
      <c r="F37" s="1"/>
      <c r="G37" s="1"/>
      <c r="J37"/>
      <c r="K37"/>
    </row>
    <row r="38" spans="1:11" ht="14.25" x14ac:dyDescent="0.25">
      <c r="F38" s="1"/>
      <c r="G38" s="1"/>
      <c r="J38"/>
      <c r="K38"/>
    </row>
    <row r="39" spans="1:11" ht="14.25" x14ac:dyDescent="0.25">
      <c r="F39" s="1"/>
      <c r="G39" s="1"/>
      <c r="J39"/>
      <c r="K39"/>
    </row>
    <row r="40" spans="1:11" ht="14.25" x14ac:dyDescent="0.25">
      <c r="F40" s="1"/>
      <c r="G40" s="1"/>
      <c r="J40"/>
      <c r="K40"/>
    </row>
    <row r="41" spans="1:11" ht="14.25" x14ac:dyDescent="0.25">
      <c r="F41" s="1"/>
      <c r="G41" s="1"/>
      <c r="J41"/>
      <c r="K41"/>
    </row>
    <row r="42" spans="1:11" ht="14.25" x14ac:dyDescent="0.25">
      <c r="G42" s="1"/>
      <c r="K42"/>
    </row>
  </sheetData>
  <sheetProtection algorithmName="SHA-512" hashValue="0EVNPP/75cBU1T9uNPsXSFTj82Bkee4LtwUVsTOrCgu8d/WM+RSyVQ3HKYPyOQ/si7qMkhvJCBF8gQaVH3Ecnw==" saltValue="JLEAWPaaCjz+6+0FgLKq4A==" spinCount="100000" sheet="1" objects="1" scenarios="1"/>
  <mergeCells count="6">
    <mergeCell ref="A10:C10"/>
    <mergeCell ref="A6:C6"/>
    <mergeCell ref="D6:E6"/>
    <mergeCell ref="A7:C7"/>
    <mergeCell ref="A8:C8"/>
    <mergeCell ref="A9:C9"/>
  </mergeCells>
  <dataValidations count="4">
    <dataValidation type="decimal" operator="greaterThan" allowBlank="1" showErrorMessage="1" error="Input needs to be a digit." promptTitle="Current" prompt="Enter the contant curent discharge rate" sqref="D9" xr:uid="{C5AFB6C4-CFA7-42A7-B793-3BEA1BF3FB6F}">
      <formula1>0</formula1>
    </dataValidation>
    <dataValidation type="custom" operator="greaterThan" allowBlank="1" showErrorMessage="1" errorTitle="Error" error="Working Voltage must be greater than Minimum Voltage" promptTitle="Working Voltage" prompt="Enter Working Voltage" sqref="D7" xr:uid="{D16CC1CD-37C7-4B54-AA3F-15F867045C6E}">
      <formula1>D7&gt;D8</formula1>
    </dataValidation>
    <dataValidation type="decimal" operator="greaterThanOrEqual" allowBlank="1" showErrorMessage="1" errorTitle="Input error" error="Must be a digit greater than .001 seconds." promptTitle="Time" prompt="Input seconds from .01 to 500 seconds" sqref="D10" xr:uid="{84B3C5B4-83D6-41A1-B9FD-BE8C5407A119}">
      <formula1>0.001</formula1>
    </dataValidation>
    <dataValidation type="custom" allowBlank="1" showErrorMessage="1" error="Minimum Voltage must be less than Working Voltage" promptTitle="Minimum Voltage" prompt="Enter minimum voltage the cell can discharge to" sqref="D8" xr:uid="{263E720D-5B9E-44A0-9F99-49EB26B1532B}">
      <formula1>D8&lt;D7</formula1>
    </dataValidation>
  </dataValidations>
  <pageMargins left="0.7" right="0.7" top="0.75" bottom="0.75" header="0.3" footer="0.3"/>
  <pageSetup orientation="portrait"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1291E-8307-4826-B560-C7E4B7AFD1E2}">
  <sheetPr codeName="Sheet3"/>
  <dimension ref="A1:Z46"/>
  <sheetViews>
    <sheetView workbookViewId="0">
      <selection activeCell="F25" sqref="F25"/>
    </sheetView>
  </sheetViews>
  <sheetFormatPr defaultRowHeight="15" x14ac:dyDescent="0.25"/>
  <cols>
    <col min="1" max="1" width="13" bestFit="1" customWidth="1"/>
    <col min="2" max="2" width="15" bestFit="1" customWidth="1"/>
    <col min="4" max="4" width="20.140625" bestFit="1" customWidth="1"/>
    <col min="5" max="5" width="26" customWidth="1"/>
    <col min="6" max="6" width="13.28515625" bestFit="1" customWidth="1"/>
    <col min="7" max="7" width="14" bestFit="1" customWidth="1"/>
    <col min="8" max="9" width="11.85546875" bestFit="1" customWidth="1"/>
    <col min="10" max="10" width="10.85546875" bestFit="1" customWidth="1"/>
    <col min="11" max="11" width="15.140625" customWidth="1"/>
    <col min="12" max="12" width="10.85546875" customWidth="1"/>
    <col min="13" max="13" width="10.140625" bestFit="1" customWidth="1"/>
    <col min="14" max="14" width="13.140625" bestFit="1" customWidth="1"/>
    <col min="15" max="15" width="16" bestFit="1" customWidth="1"/>
    <col min="17" max="17" width="12.5703125" bestFit="1" customWidth="1"/>
    <col min="18" max="19" width="10.42578125" customWidth="1"/>
    <col min="20" max="20" width="13.42578125" bestFit="1" customWidth="1"/>
    <col min="24" max="24" width="11.85546875" bestFit="1" customWidth="1"/>
    <col min="25" max="25" width="17.140625" bestFit="1" customWidth="1"/>
    <col min="26" max="26" width="12.85546875" bestFit="1" customWidth="1"/>
  </cols>
  <sheetData>
    <row r="1" spans="1:26" ht="14.25" x14ac:dyDescent="0.25">
      <c r="F1" s="41" t="s">
        <v>183</v>
      </c>
      <c r="H1" s="12" t="s">
        <v>220</v>
      </c>
      <c r="I1" s="12" t="s">
        <v>217</v>
      </c>
      <c r="J1" s="12" t="s">
        <v>215</v>
      </c>
      <c r="K1" s="2" t="s">
        <v>151</v>
      </c>
      <c r="L1" s="2" t="s">
        <v>152</v>
      </c>
      <c r="M1" s="66"/>
      <c r="N1" s="66"/>
      <c r="O1" s="66"/>
    </row>
    <row r="2" spans="1:26" ht="14.25" x14ac:dyDescent="0.25">
      <c r="E2" s="19"/>
      <c r="F2" s="41" t="s">
        <v>191</v>
      </c>
      <c r="G2" s="17" t="str">
        <f>VLOOKUP(G3,E7:F9,2,FALSE)</f>
        <v/>
      </c>
      <c r="H2" s="13">
        <f>IF(N42="All",1,IF(N42="15-20 mm",4,IF(N42="10-15 mm",3,IF(N42="&gt;20 mm",5,IF(N42="&lt;10 mm",2)))))</f>
        <v>1</v>
      </c>
      <c r="I2" s="13">
        <f>IF(N33=K33,1,2)</f>
        <v>1</v>
      </c>
      <c r="J2" s="13">
        <f>IF(Calculations!N37="Current (I)",1,2)</f>
        <v>1</v>
      </c>
      <c r="K2" s="13">
        <f>IF(MaxH=1,0,IF(MaxH=2,0,IF(MaxH=3,10,IF(MaxH=4,15,0))))</f>
        <v>0</v>
      </c>
      <c r="L2" s="13">
        <f>IF(MaxH=1,600,IF(MaxH=2,10,IF(MaxH=3,15,IF(MaxH=4,20,600))))</f>
        <v>600</v>
      </c>
    </row>
    <row r="3" spans="1:26" ht="14.25" x14ac:dyDescent="0.25">
      <c r="E3" s="19"/>
      <c r="F3" s="45" t="s">
        <v>192</v>
      </c>
      <c r="G3" s="46">
        <v>2</v>
      </c>
    </row>
    <row r="4" spans="1:26" ht="14.25" x14ac:dyDescent="0.25">
      <c r="E4" s="19"/>
      <c r="F4" s="43" t="s">
        <v>194</v>
      </c>
      <c r="G4" s="44"/>
    </row>
    <row r="6" spans="1:26" ht="14.25" x14ac:dyDescent="0.25">
      <c r="E6" s="11" t="s">
        <v>193</v>
      </c>
      <c r="F6" t="s">
        <v>213</v>
      </c>
    </row>
    <row r="7" spans="1:26" ht="14.25" x14ac:dyDescent="0.25">
      <c r="E7" s="41">
        <v>1</v>
      </c>
      <c r="F7" s="42">
        <f>LOOKUP(2,1/(COUNTIF($E$6:E6,$K$15:$K$17)=0),$K$15:$K$17)</f>
        <v>2.7</v>
      </c>
    </row>
    <row r="8" spans="1:26" ht="14.25" x14ac:dyDescent="0.25">
      <c r="E8" s="45">
        <v>2</v>
      </c>
      <c r="F8" s="51" t="str">
        <f>_xlfn.IFNA(LOOKUP(2,1/(COUNTIF($F$6:F7,$K$15:$K$17)=0),$K$15:$K$17),"")</f>
        <v/>
      </c>
    </row>
    <row r="9" spans="1:26" ht="14.25" x14ac:dyDescent="0.25">
      <c r="E9" s="43"/>
      <c r="F9" s="44"/>
      <c r="N9" s="10" t="s">
        <v>181</v>
      </c>
      <c r="R9" t="s">
        <v>177</v>
      </c>
      <c r="W9" t="s">
        <v>178</v>
      </c>
    </row>
    <row r="10" spans="1:26" thickBot="1" x14ac:dyDescent="0.3">
      <c r="N10" s="41"/>
      <c r="O10" s="59" t="s">
        <v>174</v>
      </c>
      <c r="P10" s="60" t="s">
        <v>175</v>
      </c>
      <c r="R10" t="s">
        <v>175</v>
      </c>
      <c r="S10" t="s">
        <v>167</v>
      </c>
      <c r="T10" t="s">
        <v>172</v>
      </c>
      <c r="U10" t="s">
        <v>190</v>
      </c>
      <c r="W10" t="s">
        <v>175</v>
      </c>
      <c r="X10" t="s">
        <v>167</v>
      </c>
      <c r="Y10" t="s">
        <v>172</v>
      </c>
      <c r="Z10" t="s">
        <v>190</v>
      </c>
    </row>
    <row r="11" spans="1:26" ht="14.25" x14ac:dyDescent="0.25">
      <c r="B11" t="s">
        <v>176</v>
      </c>
      <c r="C11" s="4" t="s">
        <v>173</v>
      </c>
      <c r="D11" s="4" t="s">
        <v>167</v>
      </c>
      <c r="E11" s="4" t="s">
        <v>51</v>
      </c>
      <c r="F11" s="8" t="s">
        <v>168</v>
      </c>
      <c r="G11" s="9" t="s">
        <v>169</v>
      </c>
      <c r="H11" s="9" t="s">
        <v>170</v>
      </c>
      <c r="I11" s="9" t="s">
        <v>171</v>
      </c>
      <c r="J11" s="5" t="s">
        <v>189</v>
      </c>
      <c r="K11" s="5" t="s">
        <v>184</v>
      </c>
      <c r="N11" s="61" t="s">
        <v>148</v>
      </c>
      <c r="O11" s="62">
        <f>_xlfn.MINIFS(products_parts[Sort Price],products_parts[Height Limit],TRUE,products_parts[Max Temp Capable],1,products_parts[Cell or Module],1)</f>
        <v>42.009900000000002</v>
      </c>
      <c r="P11" s="51">
        <f>_xlfn.RANK.EQ(O11,products_parts[Sort Price])</f>
        <v>154</v>
      </c>
      <c r="R11" s="1">
        <f>_xlfn.RANK.EQ(Table2[[#This Row],[Rank Order]],Table2[Rank Order],1)</f>
        <v>1</v>
      </c>
      <c r="S11" t="s">
        <v>227</v>
      </c>
      <c r="T11" s="94">
        <f>_xlfn.MINIFS(products_parts[Sort Price],products_parts[series],Table2[[#This Row],[Series]],products_parts[Height Limit],TRUE,products_parts[Max Temp Capable],1,products_parts[Cell or Module],1)</f>
        <v>62.515300000000003</v>
      </c>
      <c r="U11" s="103">
        <f>IF(Table2[[#This Row],[Sort Price]]=0,10000000+ROW(),Table2[[#This Row],[Sort Price]])</f>
        <v>62.515300000000003</v>
      </c>
      <c r="W11" s="1">
        <f>_xlfn.RANK.EQ(Table3[[#This Row],[Rank Order]],Table3[Rank Order],1)</f>
        <v>1</v>
      </c>
      <c r="X11" s="87" t="s">
        <v>269</v>
      </c>
      <c r="Y11" s="119">
        <f>_xlfn.MINIFS(products_parts[Sort Price],products_parts[Clean Series],Table3[[#This Row],[Series]],products_parts[Height Limit],TRUE,products_parts[Max Temp Capable],1)</f>
        <v>115.0043</v>
      </c>
      <c r="Z11" s="103">
        <f>IF(Table3[[#This Row],[Sort Price]]=0,10000000+ROW(),Table3[[#This Row],[Sort Price]])</f>
        <v>115.0043</v>
      </c>
    </row>
    <row r="12" spans="1:26" ht="14.25" x14ac:dyDescent="0.25">
      <c r="B12" t="s">
        <v>200</v>
      </c>
      <c r="C12">
        <f>COLUMN(products_parts[[#Headers],[Total Price]])</f>
        <v>14</v>
      </c>
      <c r="D12">
        <f>COLUMN(products_parts[[#Headers],[series]])</f>
        <v>22</v>
      </c>
      <c r="E12">
        <f>COLUMN(products_parts[[#Headers],[part_number]])</f>
        <v>23</v>
      </c>
      <c r="F12" s="1">
        <f>COLUMN(products_parts[[#Headers],[Cells in Series]])</f>
        <v>9</v>
      </c>
      <c r="G12" s="1">
        <f>COLUMN(products_parts[[#Headers],[Total Parallel]])</f>
        <v>12</v>
      </c>
      <c r="H12" s="1">
        <f>COLUMN(products_parts[[#Headers],[Total Cap]])</f>
        <v>3</v>
      </c>
      <c r="I12" s="1">
        <f>COLUMN(products_parts[[#Headers],[Total ESR]])</f>
        <v>6</v>
      </c>
      <c r="J12" s="1">
        <f>COLUMN(products_parts[[#Headers],[Height]])</f>
        <v>7</v>
      </c>
      <c r="K12" s="24">
        <f>COLUMN(products_parts[Operating Voltage (temp)])</f>
        <v>20</v>
      </c>
      <c r="N12" s="61" t="s">
        <v>145</v>
      </c>
      <c r="O12" s="62">
        <f>_xlfn.MINIFS(products_parts[Sort Price],products_parts[Height Limit],TRUE,products_parts[Max Temp Capable],1,products_parts[Cell or Module],2)</f>
        <v>115.0043</v>
      </c>
      <c r="P12" s="51">
        <f>RANK(O12,products_parts[Sort Price])</f>
        <v>133</v>
      </c>
      <c r="R12">
        <f>_xlfn.RANK.EQ(Table2[[#This Row],[Rank Order]],Table2[Rank Order],1)</f>
        <v>2</v>
      </c>
      <c r="S12" t="s">
        <v>42</v>
      </c>
      <c r="T12" s="94">
        <f>_xlfn.MINIFS(products_parts[Sort Price],products_parts[series],Table2[[#This Row],[Series]],products_parts[Height Limit],TRUE,products_parts[Max Temp Capable],1,products_parts[Cell or Module],1)</f>
        <v>73.512299999999996</v>
      </c>
      <c r="U12" s="39">
        <f>IF(Table2[[#This Row],[Sort Price]]=0,10000000+ROW(),Table2[[#This Row],[Sort Price]])</f>
        <v>73.512299999999996</v>
      </c>
      <c r="W12">
        <f>_xlfn.RANK.EQ(Table3[[#This Row],[Rank Order]],Table3[Rank Order],1)</f>
        <v>2</v>
      </c>
      <c r="X12" t="s">
        <v>84</v>
      </c>
      <c r="Y12" s="95">
        <f>_xlfn.MINIFS(products_parts[Sort Price],products_parts[Clean Series],Table3[[#This Row],[Series]],products_parts[Height Limit],TRUE,products_parts[Max Temp Capable],1)</f>
        <v>163.35420000000002</v>
      </c>
      <c r="Z12" s="40">
        <f>IF(Table3[[#This Row],[Sort Price]]=0,10000000+ROW(),Table3[[#This Row],[Sort Price]])</f>
        <v>163.35420000000002</v>
      </c>
    </row>
    <row r="13" spans="1:26" thickBot="1" x14ac:dyDescent="0.3">
      <c r="F13" s="1"/>
      <c r="G13" s="1"/>
      <c r="H13" s="1"/>
      <c r="I13" s="1"/>
      <c r="K13" s="20"/>
      <c r="N13" s="63" t="s">
        <v>182</v>
      </c>
      <c r="O13" s="64">
        <f>_xlfn.MINIFS(products_parts[Sort Price],products_parts[Operating Voltage (temp)],$G$2,products_parts[Height Limit],TRUE,products_parts[Max Temp Capable],1,products_parts[Cell or Module],1)</f>
        <v>0</v>
      </c>
      <c r="P13" s="65" t="e">
        <f>RANK(O13,products_parts[Sort Price])</f>
        <v>#N/A</v>
      </c>
      <c r="R13">
        <f>_xlfn.RANK.EQ(Table2[[#This Row],[Rank Order]],Table2[Rank Order],1)</f>
        <v>3</v>
      </c>
      <c r="S13" t="s">
        <v>41</v>
      </c>
      <c r="T13" s="94">
        <f>_xlfn.MINIFS(products_parts[Sort Price],products_parts[series],Table2[[#This Row],[Series]],products_parts[Height Limit],TRUE,products_parts[Max Temp Capable],1,products_parts[Cell or Module],1)</f>
        <v>73.512500000000003</v>
      </c>
      <c r="U13" s="39">
        <f>IF(Table2[[#This Row],[Sort Price]]=0,10000000+ROW(),Table2[[#This Row],[Sort Price]])</f>
        <v>73.512500000000003</v>
      </c>
      <c r="W13">
        <f>_xlfn.RANK.EQ(Table3[[#This Row],[Rank Order]],Table3[Rank Order],1)</f>
        <v>4</v>
      </c>
      <c r="X13" t="s">
        <v>209</v>
      </c>
      <c r="Y13" s="95">
        <f>_xlfn.MINIFS(products_parts[Sort Price],products_parts[Clean Series],Table3[[#This Row],[Series]],products_parts[Height Limit],TRUE,products_parts[Max Temp Capable],1)</f>
        <v>300.00279999999998</v>
      </c>
      <c r="Z13" s="40">
        <f>IF(Table3[[#This Row],[Sort Price]]=0,10000000+ROW(),Table3[[#This Row],[Sort Price]])</f>
        <v>300.00279999999998</v>
      </c>
    </row>
    <row r="14" spans="1:26" ht="14.25" x14ac:dyDescent="0.25">
      <c r="B14" s="16" t="s">
        <v>180</v>
      </c>
      <c r="C14" s="17"/>
      <c r="D14" s="17"/>
      <c r="E14" s="17"/>
      <c r="F14" s="18"/>
      <c r="G14" s="18"/>
      <c r="H14" s="18"/>
      <c r="I14" s="18"/>
      <c r="J14" s="17"/>
      <c r="K14" s="25"/>
      <c r="R14" s="1">
        <f>_xlfn.RANK.EQ(Table2[[#This Row],[Rank Order]],Table2[Rank Order],1)</f>
        <v>4</v>
      </c>
      <c r="S14" t="s">
        <v>263</v>
      </c>
      <c r="T14" s="94">
        <f>_xlfn.MINIFS(products_parts[Sort Price],products_parts[series],Table2[[#This Row],[Series]],products_parts[Height Limit],TRUE,products_parts[Max Temp Capable],1,products_parts[Cell or Module],1)</f>
        <v>180.0102</v>
      </c>
      <c r="U14" s="103">
        <f>IF(Table2[[#This Row],[Sort Price]]=0,10000000+ROW(),Table2[[#This Row],[Sort Price]])</f>
        <v>180.0102</v>
      </c>
      <c r="W14">
        <f>_xlfn.RANK.EQ(Table3[[#This Row],[Rank Order]],Table3[Rank Order],1)</f>
        <v>3</v>
      </c>
      <c r="X14" t="s">
        <v>157</v>
      </c>
      <c r="Y14" s="95">
        <f>_xlfn.MINIFS(products_parts[Sort Price],products_parts[Clean Series],Table3[[#This Row],[Series]],products_parts[Height Limit],TRUE,products_parts[Max Temp Capable],1)</f>
        <v>295.00259999999997</v>
      </c>
      <c r="Z14" s="39">
        <f>IF(Table3[[#This Row],[Sort Price]]=0,10000000+ROW(),Table3[[#This Row],[Sort Price]])</f>
        <v>295.00259999999997</v>
      </c>
    </row>
    <row r="15" spans="1:26" ht="14.25" x14ac:dyDescent="0.25">
      <c r="A15">
        <v>1</v>
      </c>
      <c r="B15" s="96">
        <f>_xlfn.IFNA(VLOOKUP(VLOOKUP(1,Cells,3,FALSE),products_parts[],1,FALSE),"")</f>
        <v>62.515300000000003</v>
      </c>
      <c r="C15" s="97">
        <f>_xlfn.IFNA(VLOOKUP(IF($B15&lt;10000,$B15,""),products_parts[],C$12,FALSE),"")</f>
        <v>62.5</v>
      </c>
      <c r="D15" s="97" t="str">
        <f>_xlfn.IFNA(VLOOKUP(IF($B15&lt;10000,$B15,""),products_parts[],D$12,FALSE),"")</f>
        <v>TPLH Radial</v>
      </c>
      <c r="E15" s="97" t="str">
        <f>_xlfn.IFNA(VLOOKUP(IF($B15&lt;10000,$B15,""),products_parts[],E$12,FALSE),"")</f>
        <v>TPLH-2R7/75WR18X40</v>
      </c>
      <c r="F15" s="98">
        <f>_xlfn.IFNA(VLOOKUP(IF($B15&lt;10000,$B15,""),products_parts[],F$12,FALSE),"")</f>
        <v>5</v>
      </c>
      <c r="G15" s="98">
        <f>_xlfn.IFNA(VLOOKUP(IF($B15&lt;10000,$B15,""),products_parts[],G$12,FALSE),"")</f>
        <v>2</v>
      </c>
      <c r="H15" s="98">
        <f>_xlfn.IFNA(VLOOKUP(IF($B15&lt;10000,$B15,""),products_parts[],H$12,FALSE),"")</f>
        <v>30</v>
      </c>
      <c r="I15" s="98">
        <f>_xlfn.IFNA(VLOOKUP(IF($B15&lt;10000,$B15,""),products_parts[],I$12,FALSE),"")</f>
        <v>0</v>
      </c>
      <c r="J15" s="98">
        <f>_xlfn.IFNA(VLOOKUP(IF($B15&lt;10000,$B15,""),products_parts[],J$12,FALSE),"")</f>
        <v>32.5</v>
      </c>
      <c r="K15" s="99">
        <f>_xlfn.IFNA(VLOOKUP(IF($B15&lt;10000,$B15,""),products_parts[],K$12,FALSE),"")</f>
        <v>2.7</v>
      </c>
      <c r="R15" s="1">
        <f>_xlfn.RANK.EQ(Table2[[#This Row],[Rank Order]],Table2[Rank Order],1)</f>
        <v>5</v>
      </c>
      <c r="S15" t="s">
        <v>244</v>
      </c>
      <c r="T15" s="94">
        <f>_xlfn.MINIFS(products_parts[Sort Price],products_parts[series],Table2[[#This Row],[Series]],products_parts[Height Limit],TRUE,products_parts[Max Temp Capable],1,products_parts[Cell or Module],1)</f>
        <v>225.01339999999999</v>
      </c>
      <c r="U15" s="103">
        <f>IF(Table2[[#This Row],[Sort Price]]=0,10000000+ROW(),Table2[[#This Row],[Sort Price]])</f>
        <v>225.01339999999999</v>
      </c>
      <c r="W15">
        <f>_xlfn.RANK.EQ(Table3[[#This Row],[Rank Order]],Table3[Rank Order],1)</f>
        <v>5</v>
      </c>
      <c r="X15" t="s">
        <v>70</v>
      </c>
      <c r="Y15" s="95">
        <f>_xlfn.MINIFS(products_parts[Sort Price],products_parts[Clean Series],Table3[[#This Row],[Series]],products_parts[Height Limit],TRUE,products_parts[Max Temp Capable],1)</f>
        <v>420.00790000000001</v>
      </c>
      <c r="Z15" s="39">
        <f>IF(Table3[[#This Row],[Sort Price]]=0,10000000+ROW(),Table3[[#This Row],[Sort Price]])</f>
        <v>420.00790000000001</v>
      </c>
    </row>
    <row r="16" spans="1:26" x14ac:dyDescent="0.25">
      <c r="A16">
        <v>2</v>
      </c>
      <c r="B16" s="47">
        <f>_xlfn.IFNA(VLOOKUP(VLOOKUP(2,Cells,3,FALSE),products_parts[],1,FALSE),"")</f>
        <v>73.512299999999996</v>
      </c>
      <c r="C16" s="48">
        <f>_xlfn.IFNA(VLOOKUP(IF($B16&lt;10000,$B16,""),products_parts[],C$12,FALSE),"")</f>
        <v>73.5</v>
      </c>
      <c r="D16" s="48" t="str">
        <f>_xlfn.IFNA(VLOOKUP(IF($B16&lt;10000,$B16,""),products_parts[],D$12,FALSE),"")</f>
        <v>TPLS</v>
      </c>
      <c r="E16" s="48" t="str">
        <f>_xlfn.IFNA(VLOOKUP(IF($B16&lt;10000,$B16,""),products_parts[],E$12,FALSE),"")</f>
        <v>TPLS-100/22X45F</v>
      </c>
      <c r="F16" s="49">
        <f>_xlfn.IFNA(VLOOKUP(IF($B16&lt;10000,$B16,""),products_parts[],F$12,FALSE),"")</f>
        <v>5</v>
      </c>
      <c r="G16" s="49">
        <f>_xlfn.IFNA(VLOOKUP(IF($B16&lt;10000,$B16,""),products_parts[],G$12,FALSE),"")</f>
        <v>2</v>
      </c>
      <c r="H16" s="49">
        <f>_xlfn.IFNA(VLOOKUP(IF($B16&lt;10000,$B16,""),products_parts[],H$12,FALSE),"")</f>
        <v>40</v>
      </c>
      <c r="I16" s="49">
        <f>_xlfn.IFNA(VLOOKUP(IF($B16&lt;10000,$B16,""),products_parts[],I$12,FALSE),"")</f>
        <v>37.5</v>
      </c>
      <c r="J16" s="49">
        <f>_xlfn.IFNA(VLOOKUP(IF($B16&lt;10000,$B16,""),products_parts[],J$12,FALSE),"")</f>
        <v>45</v>
      </c>
      <c r="K16" s="50">
        <f>_xlfn.IFNA(VLOOKUP(IF($B16&lt;10000,$B16,""),products_parts[],K$12,FALSE),"")</f>
        <v>2.7</v>
      </c>
      <c r="R16">
        <f>_xlfn.RANK.EQ(Table2[[#This Row],[Rank Order]],Table2[Rank Order],1)</f>
        <v>6</v>
      </c>
      <c r="S16" t="s">
        <v>40</v>
      </c>
      <c r="T16" s="94">
        <f>_xlfn.MINIFS(products_parts[Sort Price],products_parts[series],Table2[[#This Row],[Series]],products_parts[Height Limit],TRUE,products_parts[Max Temp Capable],1,products_parts[Cell or Module],1)</f>
        <v>8550.0154999999995</v>
      </c>
      <c r="U16" s="39">
        <f>IF(Table2[[#This Row],[Sort Price]]=0,10000000+ROW(),Table2[[#This Row],[Sort Price]])</f>
        <v>8550.0154999999995</v>
      </c>
      <c r="W16">
        <f>_xlfn.RANK.EQ(Table3[[#This Row],[Rank Order]],Table3[Rank Order],1)</f>
        <v>6</v>
      </c>
      <c r="X16" t="s">
        <v>83</v>
      </c>
      <c r="Y16" s="95">
        <f>_xlfn.MINIFS(products_parts[Sort Price],products_parts[Clean Series],Table3[[#This Row],[Series]],products_parts[Height Limit],TRUE,products_parts[Max Temp Capable],1)</f>
        <v>12825.0085</v>
      </c>
      <c r="Z16" s="40">
        <f>IF(Table3[[#This Row],[Sort Price]]=0,10000000+ROW(),Table3[[#This Row],[Sort Price]])</f>
        <v>12825.0085</v>
      </c>
    </row>
    <row r="17" spans="1:26" x14ac:dyDescent="0.25">
      <c r="A17">
        <v>3</v>
      </c>
      <c r="B17" s="47">
        <f>_xlfn.IFNA(VLOOKUP(VLOOKUP(3,Cells,3,FALSE),products_parts[],1,FALSE),"")</f>
        <v>73.512500000000003</v>
      </c>
      <c r="C17" s="48">
        <f>_xlfn.IFNA(VLOOKUP(IF($B17&lt;10000,$B17,""),products_parts[],C$12,FALSE),"")</f>
        <v>73.5</v>
      </c>
      <c r="D17" s="48" t="str">
        <f>_xlfn.IFNA(VLOOKUP(IF($B17&lt;10000,$B17,""),products_parts[],D$12,FALSE),"")</f>
        <v>TPL</v>
      </c>
      <c r="E17" s="48" t="str">
        <f>_xlfn.IFNA(VLOOKUP(IF($B17&lt;10000,$B17,""),products_parts[],E$12,FALSE),"")</f>
        <v>TPL-100/22X45F</v>
      </c>
      <c r="F17" s="49">
        <f>_xlfn.IFNA(VLOOKUP(IF($B17&lt;10000,$B17,""),products_parts[],F$12,FALSE),"")</f>
        <v>5</v>
      </c>
      <c r="G17" s="49">
        <f>_xlfn.IFNA(VLOOKUP(IF($B17&lt;10000,$B17,""),products_parts[],G$12,FALSE),"")</f>
        <v>2</v>
      </c>
      <c r="H17" s="49">
        <f>_xlfn.IFNA(VLOOKUP(IF($B17&lt;10000,$B17,""),products_parts[],H$12,FALSE),"")</f>
        <v>40</v>
      </c>
      <c r="I17" s="49">
        <f>_xlfn.IFNA(VLOOKUP(IF($B17&lt;10000,$B17,""),products_parts[],I$12,FALSE),"")</f>
        <v>37.5</v>
      </c>
      <c r="J17" s="49">
        <f>_xlfn.IFNA(VLOOKUP(IF($B17&lt;10000,$B17,""),products_parts[],J$12,FALSE),"")</f>
        <v>35.5</v>
      </c>
      <c r="K17" s="50">
        <f>_xlfn.IFNA(VLOOKUP(IF($B17&lt;10000,$B17,""),products_parts[],K$12,FALSE),"")</f>
        <v>2.7</v>
      </c>
      <c r="R17" s="1">
        <f>_xlfn.RANK.EQ(Table2[[#This Row],[Rank Order]],Table2[Rank Order],1)</f>
        <v>7</v>
      </c>
      <c r="S17" t="s">
        <v>274</v>
      </c>
      <c r="T17" s="94">
        <f>_xlfn.MINIFS(products_parts[Sort Price],products_parts[series],Table2[[#This Row],[Series]],products_parts[Height Limit],TRUE,products_parts[Max Temp Capable],1,products_parts[Cell or Module],1)</f>
        <v>0</v>
      </c>
      <c r="U17" s="103">
        <f>IF(Table2[[#This Row],[Sort Price]]=0,10000000+ROW(),Table2[[#This Row],[Sort Price]])</f>
        <v>10000017</v>
      </c>
      <c r="W17" s="1">
        <f>_xlfn.RANK.EQ(Table3[[#This Row],[Rank Order]],Table3[Rank Order],1)</f>
        <v>7</v>
      </c>
      <c r="X17" t="s">
        <v>212</v>
      </c>
      <c r="Y17" s="119">
        <f>_xlfn.MINIFS(products_parts[Sort Price],products_parts[Clean Series],Table3[[#This Row],[Series]],products_parts[Height Limit],TRUE,products_parts[Max Temp Capable],1)</f>
        <v>0</v>
      </c>
      <c r="Z17" s="103">
        <f>IF(Table3[[#This Row],[Sort Price]]=0,10000000+ROW(),Table3[[#This Row],[Sort Price]])</f>
        <v>10000017</v>
      </c>
    </row>
    <row r="18" spans="1:26" ht="15.75" thickBot="1" x14ac:dyDescent="0.3">
      <c r="A18">
        <v>4</v>
      </c>
      <c r="B18" s="55">
        <f>_xlfn.IFNA(VLOOKUP(VLOOKUP(4,Cells,3,FALSE),products_parts[],1,FALSE),"")</f>
        <v>180.0102</v>
      </c>
      <c r="C18" s="56">
        <f>_xlfn.IFNA(VLOOKUP(IF($B18&lt;10000,$B18,""),products_parts[],C$12,FALSE),"")</f>
        <v>180</v>
      </c>
      <c r="D18" s="56" t="str">
        <f>_xlfn.IFNA(VLOOKUP(IF($B18&lt;10000,$B18,""),products_parts[],D$12,FALSE),"")</f>
        <v>TPLH 3.0V Threaded</v>
      </c>
      <c r="E18" s="56" t="str">
        <f>_xlfn.IFNA(VLOOKUP(IF($B18&lt;10000,$B18,""),products_parts[],E$12,FALSE),"")</f>
        <v>TPLH-3R0/650SL60X51</v>
      </c>
      <c r="F18" s="57">
        <f>_xlfn.IFNA(VLOOKUP(IF($B18&lt;10000,$B18,""),products_parts[],F$12,FALSE),"")</f>
        <v>4</v>
      </c>
      <c r="G18" s="57">
        <f>_xlfn.IFNA(VLOOKUP(IF($B18&lt;10000,$B18,""),products_parts[],G$12,FALSE),"")</f>
        <v>1</v>
      </c>
      <c r="H18" s="57">
        <f>_xlfn.IFNA(VLOOKUP(IF($B18&lt;10000,$B18,""),products_parts[],H$12,FALSE),"")</f>
        <v>162.5</v>
      </c>
      <c r="I18" s="57">
        <f>_xlfn.IFNA(VLOOKUP(IF($B18&lt;10000,$B18,""),products_parts[],I$12,FALSE),"")</f>
        <v>2.4</v>
      </c>
      <c r="J18" s="57">
        <f>_xlfn.IFNA(VLOOKUP(IF($B18&lt;10000,$B18,""),products_parts[],J$12,FALSE)*G18,"")</f>
        <v>51.5</v>
      </c>
      <c r="K18" s="58">
        <f>_xlfn.IFNA(VLOOKUP(IF($B18&lt;10000,$B18,""),products_parts[],K$12,FALSE),"")</f>
        <v>3</v>
      </c>
      <c r="R18">
        <f>_xlfn.RANK.EQ(Table2[[#This Row],[Rank Order]],Table2[Rank Order],1)</f>
        <v>8</v>
      </c>
      <c r="S18" t="s">
        <v>137</v>
      </c>
      <c r="T18" s="94">
        <f>_xlfn.MINIFS(products_parts[Sort Price],products_parts[series],Table2[[#This Row],[Series]],products_parts[Height Limit],TRUE,products_parts[Max Temp Capable],1,products_parts[Cell or Module],1)</f>
        <v>0</v>
      </c>
      <c r="U18" s="39">
        <f>IF(Table2[[#This Row],[Sort Price]]=0,10000000+ROW(),Table2[[#This Row],[Sort Price]])</f>
        <v>10000018</v>
      </c>
      <c r="W18">
        <f>_xlfn.RANK.EQ(Table3[[#This Row],[Rank Order]],Table3[Rank Order],1)</f>
        <v>8</v>
      </c>
      <c r="X18" t="s">
        <v>160</v>
      </c>
      <c r="Y18" s="95">
        <f>_xlfn.MINIFS(products_parts[Sort Price],products_parts[Clean Series],Table3[[#This Row],[Series]],products_parts[Height Limit],TRUE,products_parts[Max Temp Capable],1)</f>
        <v>0</v>
      </c>
      <c r="Z18" s="39">
        <f>IF(Table3[[#This Row],[Sort Price]]=0,10000000+ROW(),Table3[[#This Row],[Sort Price]])</f>
        <v>10000018</v>
      </c>
    </row>
    <row r="19" spans="1:26" x14ac:dyDescent="0.25">
      <c r="B19" s="7"/>
      <c r="C19" s="6"/>
      <c r="D19" s="6"/>
      <c r="E19" s="6"/>
      <c r="F19" s="26"/>
      <c r="G19" s="26"/>
      <c r="H19" s="26"/>
      <c r="I19" s="27"/>
      <c r="J19" s="20"/>
      <c r="K19" s="20"/>
    </row>
    <row r="20" spans="1:26" x14ac:dyDescent="0.25">
      <c r="A20" s="11" t="s">
        <v>211</v>
      </c>
      <c r="B20" s="14" t="s">
        <v>179</v>
      </c>
      <c r="C20" s="15"/>
      <c r="D20" s="15"/>
      <c r="E20" s="15"/>
      <c r="F20" s="28"/>
      <c r="G20" s="28"/>
      <c r="H20" s="28"/>
      <c r="I20" s="29"/>
      <c r="J20" s="30"/>
      <c r="K20" s="25"/>
    </row>
    <row r="21" spans="1:26" x14ac:dyDescent="0.25">
      <c r="A21" s="92">
        <f>IF(ISNUMBER(C21/$C$21),C21/$C$21,"")</f>
        <v>1</v>
      </c>
      <c r="B21" s="90">
        <f>_xlfn.IFNA(VLOOKUP(VLOOKUP(1,Modules,3,FALSE),products_parts[],1,FALSE),"NA")</f>
        <v>115.0043</v>
      </c>
      <c r="C21" s="52">
        <f>_xlfn.IFNA(VLOOKUP(IF($B21,$B21,""),products_parts[],C$12,FALSE),"")</f>
        <v>115</v>
      </c>
      <c r="D21" s="52" t="str">
        <f>_xlfn.IFNA(VLOOKUP(IF($B21,$B21,""),products_parts[],D$12,FALSE),"")</f>
        <v>PBLH 12V</v>
      </c>
      <c r="E21" s="52" t="str">
        <f>_xlfn.IFNA(VLOOKUP(IF($B21,$B21,""),products_parts[],E$12,FALSE),"")</f>
        <v>PBLH-12R0/87WT</v>
      </c>
      <c r="F21" s="53">
        <f>_xlfn.IFNA(VLOOKUP(IF($B21,$B21,""),products_parts[],F$12,FALSE),"")</f>
        <v>1</v>
      </c>
      <c r="G21" s="53">
        <f>_xlfn.IFNA(VLOOKUP(IF($B21,$B21,""),products_parts[],G$12,FALSE),"")</f>
        <v>1</v>
      </c>
      <c r="H21" s="49">
        <f>_xlfn.IFNA(VLOOKUP(IF($B21&lt;10000,$B21,""),products_parts[],$H$12,FALSE),"")</f>
        <v>87</v>
      </c>
      <c r="I21" s="53">
        <f>_xlfn.IFNA(VLOOKUP(IF($B21&lt;10000,$B21,""),products_parts[],COLUMN(products_parts[esr_dc]),FALSE),"")</f>
        <v>20</v>
      </c>
      <c r="J21" s="53">
        <f>_xlfn.IFNA(VLOOKUP(IF($B21,$B21,""),products_parts[],J$12,FALSE),"")</f>
        <v>86</v>
      </c>
      <c r="K21" s="54">
        <f>_xlfn.IFNA(VLOOKUP(IF($B21,$B21,""),products_parts[],K$12,FALSE),"")</f>
        <v>12</v>
      </c>
    </row>
    <row r="22" spans="1:26" x14ac:dyDescent="0.25">
      <c r="A22" s="92">
        <f t="shared" ref="A22:A26" si="0">IF(ISNUMBER(C22/$C$21),C22/$C$21,"")</f>
        <v>1.4204347826086958</v>
      </c>
      <c r="B22" s="91">
        <f>_xlfn.IFNA(VLOOKUP(VLOOKUP(2,Modules,3,FALSE),products_parts[],1,FALSE),"NA")</f>
        <v>163.35420000000002</v>
      </c>
      <c r="C22" s="48">
        <f>_xlfn.IFNA(VLOOKUP(IF($B22&lt;10000,$B22,""),products_parts[],C$12,FALSE),"")</f>
        <v>163.35000000000002</v>
      </c>
      <c r="D22" s="48" t="str">
        <f>_xlfn.IFNA(VLOOKUP(IF($B22&lt;10000,$B22,""),products_parts[],D$12,FALSE),"")</f>
        <v>PBLS</v>
      </c>
      <c r="E22" s="48" t="str">
        <f>_xlfn.IFNA(VLOOKUP(IF($B22&lt;10000,$B22,""),products_parts[],E$12,FALSE),"")</f>
        <v>PBLS-10/13.5</v>
      </c>
      <c r="F22" s="49">
        <f>_xlfn.IFNA(VLOOKUP(IF($B22&lt;10000,$B22,""),products_parts[],F$12,FALSE),"")</f>
        <v>1</v>
      </c>
      <c r="G22" s="49">
        <f>_xlfn.IFNA(VLOOKUP(IF($B22&lt;10000,$B22,""),products_parts[],G$12,FALSE),"")</f>
        <v>3</v>
      </c>
      <c r="H22" s="49">
        <f>_xlfn.IFNA(VLOOKUP(IF($B22&lt;10000,$B22,""),products_parts[],$H$12,FALSE),"")</f>
        <v>30</v>
      </c>
      <c r="I22" s="49">
        <f>_xlfn.IFNA(VLOOKUP(IF($B22&lt;10000,$B22,""),products_parts[],I$12,FALSE),"")</f>
        <v>53.333333333333336</v>
      </c>
      <c r="J22" s="49">
        <f>_xlfn.IFNA(VLOOKUP(IF($B22&lt;10000,$B22,""),products_parts[],J$12,FALSE),"")</f>
        <v>66</v>
      </c>
      <c r="K22" s="50">
        <f>_xlfn.IFNA(VLOOKUP(IF($B22&lt;10000,$B22,""),products_parts[],K$12,FALSE),"")</f>
        <v>13.5</v>
      </c>
    </row>
    <row r="23" spans="1:26" x14ac:dyDescent="0.25">
      <c r="A23" s="92">
        <f t="shared" si="0"/>
        <v>2.5652173913043477</v>
      </c>
      <c r="B23" s="91">
        <f>_xlfn.IFNA(VLOOKUP(VLOOKUP(3,Modules,3,FALSE),products_parts[],1,FALSE),"NA")</f>
        <v>295.00259999999997</v>
      </c>
      <c r="C23" s="48">
        <f>_xlfn.IFNA(VLOOKUP(IF($B23&lt;10000,$B23,""),products_parts[],C$12,FALSE),"")</f>
        <v>295</v>
      </c>
      <c r="D23" s="48" t="str">
        <f>_xlfn.IFNA(VLOOKUP(IF($B23&lt;10000,$B23,""),products_parts[],D$12,FALSE),"")</f>
        <v>PBD</v>
      </c>
      <c r="E23" s="48" t="str">
        <f>_xlfn.IFNA(VLOOKUP(IF($B23&lt;10000,$B23,""),products_parts[],E$12,FALSE),"")</f>
        <v>PBD-58/16.2K</v>
      </c>
      <c r="F23" s="49">
        <f>_xlfn.IFNA(VLOOKUP(IF($B23&lt;10000,$B23,""),products_parts[],F$12,FALSE),"")</f>
        <v>1</v>
      </c>
      <c r="G23" s="49">
        <f>_xlfn.IFNA(VLOOKUP(IF($B23&lt;10000,$B23,""),products_parts[],G$12,FALSE),"")</f>
        <v>1</v>
      </c>
      <c r="H23" s="49">
        <f>_xlfn.IFNA(VLOOKUP(IF($B23&lt;10000,$B23,""),products_parts[],$H$12,FALSE),"")</f>
        <v>58</v>
      </c>
      <c r="I23" s="89">
        <f>_xlfn.IFNA(VLOOKUP(IF($B23&lt;10000,$B23,""),products_parts[],I$12,FALSE),"")</f>
        <v>28</v>
      </c>
      <c r="J23" s="49">
        <f>_xlfn.IFNA(VLOOKUP(IF($B23&lt;10000,$B23,""),products_parts[],J$12,FALSE),"")</f>
        <v>38</v>
      </c>
      <c r="K23" s="50">
        <f>_xlfn.IFNA(VLOOKUP(IF($B23&lt;10000,$B23,""),products_parts[],K$12,FALSE),"")</f>
        <v>16.2</v>
      </c>
    </row>
    <row r="24" spans="1:26" x14ac:dyDescent="0.25">
      <c r="A24" s="92">
        <f t="shared" si="0"/>
        <v>2.6086956521739131</v>
      </c>
      <c r="B24" s="91">
        <f>_xlfn.IFNA(VLOOKUP(VLOOKUP(4,Modules,3,FALSE),products_parts[],1,FALSE),"NA")</f>
        <v>300.00279999999998</v>
      </c>
      <c r="C24" s="48">
        <f>_xlfn.IFNA(VLOOKUP(IF($B24&lt;10000,$B24,""),products_parts[],C$12,FALSE),"")</f>
        <v>300</v>
      </c>
      <c r="D24" s="48" t="str">
        <f>_xlfn.IFNA(VLOOKUP(IF($B24&lt;10000,$B24,""),products_parts[],D$12,FALSE),"")</f>
        <v>PBL 16.2V</v>
      </c>
      <c r="E24" s="48" t="str">
        <f>_xlfn.IFNA(VLOOKUP(IF($B24&lt;10000,$B24,""),products_parts[],E$12,FALSE),"")</f>
        <v>PBL-25/16.2</v>
      </c>
      <c r="F24" s="49">
        <f>_xlfn.IFNA(VLOOKUP(IF($B24&lt;10000,$B24,""),products_parts[],F$12,FALSE),"")</f>
        <v>1</v>
      </c>
      <c r="G24" s="49">
        <f>_xlfn.IFNA(VLOOKUP(IF($B24&lt;10000,$B24,""),products_parts[],G$12,FALSE),"")</f>
        <v>2</v>
      </c>
      <c r="H24" s="49">
        <f>_xlfn.IFNA(VLOOKUP(IF($B24&lt;10000,$B24,""),products_parts[],$H$12,FALSE),"")</f>
        <v>50</v>
      </c>
      <c r="I24" s="49">
        <f>_xlfn.IFNA(VLOOKUP(IF($B24&lt;10000,$B24,""),products_parts[],I$12,FALSE),"")</f>
        <v>43</v>
      </c>
      <c r="J24" s="49">
        <f>_xlfn.IFNA(VLOOKUP(IF($B24&lt;10000,$B24,""),products_parts[],J$12,FALSE),"")</f>
        <v>57</v>
      </c>
      <c r="K24" s="50">
        <f>_xlfn.IFNA(VLOOKUP(IF($B24&lt;10000,$B24,""),products_parts[],K$12,FALSE),"")</f>
        <v>16.2</v>
      </c>
    </row>
    <row r="25" spans="1:26" x14ac:dyDescent="0.25">
      <c r="A25" s="92">
        <f t="shared" si="0"/>
        <v>3.652173913043478</v>
      </c>
      <c r="B25" s="91">
        <f>_xlfn.IFNA(VLOOKUP(VLOOKUP(5,Modules,3,FALSE),products_parts[],1,FALSE),"NA")</f>
        <v>420.00790000000001</v>
      </c>
      <c r="C25" s="48">
        <f>_xlfn.IFNA(VLOOKUP(IF($B25&lt;10000,$B25,""),products_parts[],C$12,FALSE),"")</f>
        <v>420</v>
      </c>
      <c r="D25" s="48" t="str">
        <f>_xlfn.IFNA(VLOOKUP(IF($B25&lt;10000,$B25,""),products_parts[],D$12,FALSE),"")</f>
        <v>PBLL</v>
      </c>
      <c r="E25" s="48" t="str">
        <f>_xlfn.IFNA(VLOOKUP(IF($B25&lt;10000,$B25,""),products_parts[],E$12,FALSE),"")</f>
        <v>PBLL-15.0/5.4</v>
      </c>
      <c r="F25" s="48">
        <f>_xlfn.IFNA(VLOOKUP(IF($B25&lt;10000,$B25,""),products_parts[],F$12,FALSE),"")</f>
        <v>3</v>
      </c>
      <c r="G25" s="48">
        <f>_xlfn.IFNA(VLOOKUP(IF($B25&lt;10000,$B25,""),products_parts[],G$12,FALSE),"")</f>
        <v>7</v>
      </c>
      <c r="H25" s="49">
        <f>_xlfn.IFNA(VLOOKUP(IF($B25&lt;10000,$B25,""),products_parts[],$H$12,FALSE),"")</f>
        <v>35</v>
      </c>
      <c r="I25" s="49">
        <f>_xlfn.IFNA(VLOOKUP(IF($B25&lt;10000,$B25,""),products_parts[],I$12,FALSE),"")</f>
        <v>57.857142857142854</v>
      </c>
      <c r="J25" s="49">
        <f>_xlfn.IFNA(VLOOKUP(IF($B25&lt;10000,$B25,""),products_parts[],J$12,FALSE),"")</f>
        <v>34.5</v>
      </c>
      <c r="K25" s="50">
        <f>_xlfn.IFNA(VLOOKUP(IF($B25&lt;10000,$B25,""),products_parts[],K$12,FALSE),"")</f>
        <v>5.4</v>
      </c>
    </row>
    <row r="26" spans="1:26" x14ac:dyDescent="0.25">
      <c r="A26" s="92" t="str">
        <f t="shared" si="0"/>
        <v/>
      </c>
      <c r="B26" s="91">
        <f>_xlfn.IFNA(VLOOKUP(VLOOKUP(6,Modules,3,FALSE),products_parts[],1,FALSE),"NA")</f>
        <v>12825.0085</v>
      </c>
      <c r="C26" s="48" t="str">
        <f>_xlfn.IFNA(VLOOKUP(IF($B26&lt;10000,$B26,""),products_parts[],C$12,FALSE),"")</f>
        <v/>
      </c>
      <c r="D26" s="48" t="str">
        <f>_xlfn.IFNA(VLOOKUP(IF($B26&lt;10000,$B26,""),products_parts[],D$12,FALSE),"")</f>
        <v/>
      </c>
      <c r="E26" s="48" t="str">
        <f>_xlfn.IFNA(VLOOKUP(IF($B26&lt;10000,$B26,""),products_parts[],E$12,FALSE),"")</f>
        <v/>
      </c>
      <c r="F26" s="48" t="str">
        <f>_xlfn.IFNA(VLOOKUP(IF($B26&lt;10000,$B26,""),products_parts[],F$12,FALSE),"")</f>
        <v/>
      </c>
      <c r="G26" s="48" t="str">
        <f>_xlfn.IFNA(VLOOKUP(IF($B26&lt;10000,$B26,""),products_parts[],G$12,FALSE),"")</f>
        <v/>
      </c>
      <c r="H26" s="49" t="str">
        <f>_xlfn.IFNA(VLOOKUP(IF($B26&lt;10000,$B26,""),products_parts[],$H$12,FALSE),"")</f>
        <v/>
      </c>
      <c r="I26" s="49" t="str">
        <f>_xlfn.IFNA(VLOOKUP(IF($B26&lt;10000,$B26,""),products_parts[],I$12,FALSE),"")</f>
        <v/>
      </c>
      <c r="J26" s="49" t="str">
        <f>_xlfn.IFNA(VLOOKUP(IF($B26&lt;10000,$B26,""),products_parts[],J$12,FALSE),"")</f>
        <v/>
      </c>
      <c r="K26" s="50" t="str">
        <f>_xlfn.IFNA(VLOOKUP(IF($B26&lt;10000,$B26,""),products_parts[],K$12,FALSE),"")</f>
        <v/>
      </c>
    </row>
    <row r="27" spans="1:26" ht="15.75" thickBot="1" x14ac:dyDescent="0.3">
      <c r="B27" s="55"/>
      <c r="C27" s="56"/>
      <c r="D27" s="56"/>
      <c r="E27" s="56"/>
      <c r="F27" s="56"/>
      <c r="G27" s="56"/>
      <c r="H27" s="57"/>
      <c r="I27" s="57"/>
      <c r="J27" s="57"/>
      <c r="K27" s="58"/>
    </row>
    <row r="32" spans="1:26" x14ac:dyDescent="0.25">
      <c r="K32" t="s">
        <v>217</v>
      </c>
      <c r="L32" t="s">
        <v>214</v>
      </c>
      <c r="N32" s="115" t="s">
        <v>218</v>
      </c>
      <c r="O32" t="s">
        <v>219</v>
      </c>
    </row>
    <row r="33" spans="11:15" x14ac:dyDescent="0.25">
      <c r="K33" s="3" t="s">
        <v>140</v>
      </c>
      <c r="L33">
        <v>1</v>
      </c>
      <c r="N33" s="116" t="s">
        <v>140</v>
      </c>
      <c r="O33" s="1">
        <v>1</v>
      </c>
    </row>
    <row r="34" spans="11:15" x14ac:dyDescent="0.25">
      <c r="K34" s="3" t="s">
        <v>142</v>
      </c>
      <c r="L34">
        <v>2</v>
      </c>
    </row>
    <row r="36" spans="11:15" x14ac:dyDescent="0.25">
      <c r="K36" s="111" t="s">
        <v>215</v>
      </c>
      <c r="L36" s="112" t="s">
        <v>214</v>
      </c>
      <c r="N36" s="115" t="s">
        <v>218</v>
      </c>
      <c r="O36" t="s">
        <v>219</v>
      </c>
    </row>
    <row r="37" spans="11:15" x14ac:dyDescent="0.25">
      <c r="K37" s="109" t="s">
        <v>216</v>
      </c>
      <c r="L37" s="110">
        <v>2</v>
      </c>
      <c r="N37" s="116" t="s">
        <v>186</v>
      </c>
      <c r="O37" s="1">
        <v>1</v>
      </c>
    </row>
    <row r="38" spans="11:15" x14ac:dyDescent="0.25">
      <c r="K38" t="s">
        <v>186</v>
      </c>
      <c r="L38">
        <v>1</v>
      </c>
    </row>
    <row r="41" spans="11:15" x14ac:dyDescent="0.25">
      <c r="K41" s="113" t="s">
        <v>139</v>
      </c>
      <c r="L41" t="s">
        <v>214</v>
      </c>
      <c r="N41" s="115" t="s">
        <v>218</v>
      </c>
      <c r="O41" t="s">
        <v>219</v>
      </c>
    </row>
    <row r="42" spans="11:15" x14ac:dyDescent="0.25">
      <c r="K42" s="114" t="s">
        <v>141</v>
      </c>
      <c r="L42">
        <v>1</v>
      </c>
      <c r="N42" s="116" t="s">
        <v>141</v>
      </c>
      <c r="O42" s="1">
        <v>1</v>
      </c>
    </row>
    <row r="43" spans="11:15" x14ac:dyDescent="0.25">
      <c r="K43" s="114" t="s">
        <v>221</v>
      </c>
      <c r="L43">
        <v>5</v>
      </c>
    </row>
    <row r="44" spans="11:15" x14ac:dyDescent="0.25">
      <c r="K44" s="114" t="s">
        <v>146</v>
      </c>
      <c r="L44">
        <v>4</v>
      </c>
    </row>
    <row r="45" spans="11:15" x14ac:dyDescent="0.25">
      <c r="K45" s="114" t="s">
        <v>144</v>
      </c>
      <c r="L45">
        <v>3</v>
      </c>
    </row>
    <row r="46" spans="11:15" x14ac:dyDescent="0.25">
      <c r="K46" s="114" t="s">
        <v>143</v>
      </c>
      <c r="L46">
        <v>2</v>
      </c>
    </row>
  </sheetData>
  <protectedRanges>
    <protectedRange algorithmName="SHA-512" hashValue="hq8WMfrzA1qmHEeqzghPB9kP3GYHau+eHg9eYxCL4Ppi2HWGQTLAK5zdSu5RE7ZnIRkkfoI/E3+2EOdeBF4F1g==" saltValue="rGOseZEt2mOj4I9x926cFA==" spinCount="100000" sqref="X17" name="Range1" securityDescriptor="O:WDG:WDD:(A;;CC;;;AU)"/>
  </protectedRanges>
  <pageMargins left="0.7" right="0.7" top="0.75" bottom="0.75" header="0.3" footer="0.3"/>
  <pageSetup orientation="portrait" r:id="rId4"/>
  <drawing r:id="rId5"/>
  <tableParts count="6">
    <tablePart r:id="rId6"/>
    <tablePart r:id="rId7"/>
    <tablePart r:id="rId8"/>
    <tablePart r:id="rId9"/>
    <tablePart r:id="rId10"/>
    <tablePart r:id="rId11"/>
  </tableParts>
  <extLst>
    <ext xmlns:x14="http://schemas.microsoft.com/office/spreadsheetml/2009/9/main" uri="{A8765BA9-456A-4dab-B4F3-ACF838C121DE}">
      <x14:slicerList>
        <x14:slicer r:id="rId12"/>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D9CFA-FB02-43B2-B707-A561070248E4}">
  <sheetPr codeName="Sheet2"/>
  <dimension ref="A1:BX155"/>
  <sheetViews>
    <sheetView topLeftCell="Q1" workbookViewId="0">
      <selection activeCell="V2" sqref="V2:AL155"/>
    </sheetView>
  </sheetViews>
  <sheetFormatPr defaultColWidth="9" defaultRowHeight="15" x14ac:dyDescent="0.25"/>
  <cols>
    <col min="1" max="1" width="15.42578125" style="37" bestFit="1" customWidth="1"/>
    <col min="2" max="2" width="6.28515625" style="67" customWidth="1"/>
    <col min="3" max="3" width="11.85546875" style="67" bestFit="1" customWidth="1"/>
    <col min="4" max="4" width="13.7109375" customWidth="1"/>
    <col min="5" max="5" width="10.85546875" style="67" bestFit="1" customWidth="1"/>
    <col min="6" max="6" width="12.28515625" style="67" customWidth="1"/>
    <col min="7" max="7" width="19.140625" style="67" customWidth="1"/>
    <col min="8" max="8" width="13.42578125" style="67" bestFit="1" customWidth="1"/>
    <col min="9" max="9" width="14.42578125" style="67" bestFit="1" customWidth="1"/>
    <col min="10" max="10" width="16" bestFit="1" customWidth="1"/>
    <col min="11" max="11" width="14.42578125" style="67" bestFit="1" customWidth="1"/>
    <col min="12" max="12" width="14.140625" customWidth="1"/>
    <col min="13" max="13" width="15.7109375" style="67" bestFit="1" customWidth="1"/>
    <col min="14" max="14" width="14.28515625" style="67" bestFit="1" customWidth="1"/>
    <col min="15" max="15" width="15.42578125" style="67" bestFit="1" customWidth="1"/>
    <col min="16" max="16" width="16.42578125" style="67" bestFit="1" customWidth="1"/>
    <col min="17" max="17" width="17" style="67" bestFit="1" customWidth="1"/>
    <col min="18" max="18" width="14.42578125" style="67" bestFit="1" customWidth="1"/>
    <col min="19" max="19" width="16" style="67" bestFit="1" customWidth="1"/>
    <col min="20" max="20" width="27.5703125" style="67" bestFit="1" customWidth="1"/>
    <col min="21" max="21" width="9.140625"/>
    <col min="22" max="22" width="15.85546875" style="67" bestFit="1" customWidth="1"/>
    <col min="23" max="23" width="15.42578125" style="67" bestFit="1" customWidth="1"/>
    <col min="24" max="24" width="9" style="67" bestFit="1" customWidth="1"/>
    <col min="25" max="25" width="19.85546875" style="67" bestFit="1" customWidth="1"/>
    <col min="26" max="26" width="9.42578125" style="67" bestFit="1" customWidth="1"/>
    <col min="27" max="27" width="10.42578125" style="67" bestFit="1" customWidth="1"/>
    <col min="28" max="32" width="9.140625"/>
    <col min="33" max="33" width="11.85546875" style="67" bestFit="1" customWidth="1"/>
    <col min="34" max="34" width="9.140625"/>
    <col min="35" max="35" width="11.42578125" style="67" bestFit="1" customWidth="1"/>
    <col min="36" max="36" width="10.85546875" style="67" bestFit="1" customWidth="1"/>
    <col min="37" max="37" width="8.7109375" style="67" customWidth="1"/>
    <col min="38" max="38" width="18" style="67" customWidth="1"/>
    <col min="39" max="39" width="8.140625" style="67" bestFit="1" customWidth="1"/>
    <col min="40" max="40" width="13.42578125" style="67" bestFit="1" customWidth="1"/>
    <col min="41" max="52" width="9.140625"/>
    <col min="53" max="53" width="15.5703125" style="67" bestFit="1" customWidth="1"/>
    <col min="54" max="54" width="17" style="67" bestFit="1" customWidth="1"/>
    <col min="55" max="55" width="17.140625" style="68" bestFit="1" customWidth="1"/>
    <col min="56" max="56" width="18" style="68" bestFit="1" customWidth="1"/>
    <col min="57" max="57" width="21.7109375" style="68" bestFit="1" customWidth="1"/>
    <col min="58" max="58" width="27.5703125" style="73" bestFit="1" customWidth="1"/>
    <col min="59" max="59" width="14.42578125" style="73" bestFit="1" customWidth="1"/>
    <col min="60" max="60" width="16.5703125" style="73" bestFit="1" customWidth="1"/>
    <col min="61" max="61" width="25.42578125" style="68" bestFit="1" customWidth="1"/>
    <col min="62" max="62" width="14.42578125" style="67" bestFit="1" customWidth="1"/>
    <col min="63" max="64" width="14.42578125" style="69" bestFit="1" customWidth="1"/>
    <col min="65" max="65" width="14.42578125" style="70" bestFit="1" customWidth="1"/>
    <col min="66" max="67" width="14.42578125" style="71" customWidth="1"/>
    <col min="68" max="68" width="13.28515625" style="67" bestFit="1" customWidth="1"/>
    <col min="69" max="69" width="8.85546875" style="67" bestFit="1" customWidth="1"/>
    <col min="70" max="70" width="15.28515625" style="67" bestFit="1" customWidth="1"/>
    <col min="71" max="71" width="15.42578125" style="67" bestFit="1" customWidth="1"/>
    <col min="72" max="72" width="14" style="67" bestFit="1" customWidth="1"/>
    <col min="73" max="73" width="6.85546875" style="67" bestFit="1" customWidth="1"/>
    <col min="74" max="74" width="9" style="67" bestFit="1" customWidth="1"/>
    <col min="75" max="75" width="15.42578125" style="67" bestFit="1" customWidth="1"/>
    <col min="76" max="76" width="33.28515625" style="72" bestFit="1" customWidth="1"/>
    <col min="77" max="77" width="12" style="67" bestFit="1" customWidth="1"/>
    <col min="78" max="78" width="8.140625" style="67" bestFit="1" customWidth="1"/>
    <col min="79" max="79" width="11.42578125" style="67" bestFit="1" customWidth="1"/>
    <col min="80" max="80" width="8.5703125" style="67" bestFit="1" customWidth="1"/>
    <col min="81" max="81" width="12" style="67" bestFit="1" customWidth="1"/>
    <col min="82" max="82" width="11" style="67" bestFit="1" customWidth="1"/>
    <col min="83" max="83" width="14.42578125" style="67" bestFit="1" customWidth="1"/>
    <col min="84" max="84" width="10.7109375" style="67" bestFit="1" customWidth="1"/>
    <col min="85" max="85" width="14.140625" style="67" bestFit="1" customWidth="1"/>
    <col min="86" max="86" width="12" style="67" bestFit="1" customWidth="1"/>
    <col min="87" max="87" width="14.28515625" style="67" bestFit="1" customWidth="1"/>
    <col min="88" max="88" width="13.28515625" style="67" bestFit="1" customWidth="1"/>
    <col min="89" max="89" width="8.85546875" style="67" bestFit="1" customWidth="1"/>
    <col min="90" max="90" width="12.28515625" style="67" bestFit="1" customWidth="1"/>
    <col min="91" max="91" width="11.85546875" style="67" bestFit="1" customWidth="1"/>
    <col min="92" max="92" width="11.5703125" style="67" bestFit="1" customWidth="1"/>
    <col min="93" max="93" width="8.42578125" style="67" bestFit="1" customWidth="1"/>
    <col min="94" max="94" width="8.28515625" style="67" bestFit="1" customWidth="1"/>
    <col min="95" max="95" width="12.42578125" style="67" bestFit="1" customWidth="1"/>
    <col min="96" max="96" width="12.5703125" style="67" bestFit="1" customWidth="1"/>
    <col min="97" max="97" width="8.42578125" style="67" bestFit="1" customWidth="1"/>
    <col min="98" max="98" width="15.28515625" style="67" bestFit="1" customWidth="1"/>
    <col min="99" max="99" width="15.42578125" style="67" bestFit="1" customWidth="1"/>
    <col min="100" max="100" width="16.28515625" style="67" bestFit="1" customWidth="1"/>
    <col min="101" max="101" width="16.42578125" style="67" bestFit="1" customWidth="1"/>
    <col min="102" max="102" width="17.42578125" style="67" bestFit="1" customWidth="1"/>
    <col min="103" max="103" width="17.5703125" style="67" bestFit="1" customWidth="1"/>
    <col min="104" max="104" width="14" style="67" bestFit="1" customWidth="1"/>
    <col min="105" max="105" width="6.85546875" style="67" bestFit="1" customWidth="1"/>
    <col min="106" max="106" width="7.5703125" style="67" bestFit="1" customWidth="1"/>
    <col min="107" max="107" width="7.7109375" style="67" bestFit="1" customWidth="1"/>
    <col min="108" max="108" width="5.42578125" style="67" bestFit="1" customWidth="1"/>
    <col min="109" max="109" width="9" style="67" bestFit="1" customWidth="1"/>
    <col min="110" max="110" width="15.42578125" style="67" bestFit="1" customWidth="1"/>
    <col min="111" max="111" width="5.42578125" style="67" bestFit="1" customWidth="1"/>
    <col min="112" max="112" width="9" style="67"/>
    <col min="113" max="113" width="22.140625" style="67" bestFit="1" customWidth="1"/>
    <col min="114" max="114" width="24.7109375" style="67" bestFit="1" customWidth="1"/>
    <col min="115" max="115" width="22.42578125" style="67" bestFit="1" customWidth="1"/>
    <col min="116" max="116" width="11.28515625" style="67" bestFit="1" customWidth="1"/>
    <col min="117" max="117" width="13.140625" style="67" bestFit="1" customWidth="1"/>
    <col min="118" max="118" width="14.42578125" style="67" bestFit="1" customWidth="1"/>
    <col min="119" max="119" width="11.5703125" style="67" bestFit="1" customWidth="1"/>
    <col min="120" max="120" width="18.42578125" style="67" bestFit="1" customWidth="1"/>
    <col min="121" max="121" width="12" style="67" bestFit="1" customWidth="1"/>
    <col min="122" max="122" width="14" style="67" bestFit="1" customWidth="1"/>
    <col min="123" max="123" width="13.7109375" style="67" bestFit="1" customWidth="1"/>
    <col min="124" max="124" width="17.42578125" style="67" bestFit="1" customWidth="1"/>
    <col min="125" max="125" width="14.7109375" style="67" bestFit="1" customWidth="1"/>
    <col min="126" max="126" width="15.42578125" style="67" bestFit="1" customWidth="1"/>
    <col min="127" max="16384" width="9" style="67"/>
  </cols>
  <sheetData>
    <row r="1" spans="1:76" x14ac:dyDescent="0.25">
      <c r="A1" s="67" t="s">
        <v>172</v>
      </c>
      <c r="B1" s="67" t="s">
        <v>52</v>
      </c>
      <c r="C1" s="67" t="s">
        <v>203</v>
      </c>
      <c r="D1" s="67" t="s">
        <v>50</v>
      </c>
      <c r="E1" s="67" t="s">
        <v>162</v>
      </c>
      <c r="F1" s="67" t="s">
        <v>204</v>
      </c>
      <c r="G1" s="67" t="s">
        <v>139</v>
      </c>
      <c r="H1" s="67" t="s">
        <v>166</v>
      </c>
      <c r="I1" s="80" t="s">
        <v>53</v>
      </c>
      <c r="J1" s="68" t="s">
        <v>54</v>
      </c>
      <c r="K1" s="73" t="s">
        <v>185</v>
      </c>
      <c r="L1" s="73" t="s">
        <v>187</v>
      </c>
      <c r="M1" s="68" t="s">
        <v>56</v>
      </c>
      <c r="N1" s="81" t="s">
        <v>138</v>
      </c>
      <c r="O1" s="82" t="s">
        <v>163</v>
      </c>
      <c r="P1" s="82" t="s">
        <v>149</v>
      </c>
      <c r="Q1" s="71" t="s">
        <v>150</v>
      </c>
      <c r="R1" s="69" t="s">
        <v>147</v>
      </c>
      <c r="S1" s="83" t="s">
        <v>161</v>
      </c>
      <c r="T1" s="73" t="s">
        <v>184</v>
      </c>
      <c r="U1" s="73" t="s">
        <v>210</v>
      </c>
      <c r="V1" s="67" t="s">
        <v>28</v>
      </c>
      <c r="W1" s="67" t="s">
        <v>29</v>
      </c>
      <c r="X1" s="67" t="s">
        <v>30</v>
      </c>
      <c r="Y1" s="67" t="s">
        <v>153</v>
      </c>
      <c r="Z1" s="67" t="s">
        <v>31</v>
      </c>
      <c r="AA1" s="67" t="s">
        <v>32</v>
      </c>
      <c r="AB1" s="67" t="s">
        <v>202</v>
      </c>
      <c r="AC1" s="67" t="s">
        <v>33</v>
      </c>
      <c r="AD1" s="67" t="s">
        <v>34</v>
      </c>
      <c r="AE1" s="67" t="s">
        <v>201</v>
      </c>
      <c r="AF1" s="67" t="s">
        <v>165</v>
      </c>
      <c r="AG1" s="67" t="s">
        <v>164</v>
      </c>
      <c r="AH1" s="67" t="s">
        <v>154</v>
      </c>
      <c r="AI1" s="67" t="s">
        <v>35</v>
      </c>
      <c r="AJ1" s="67" t="s">
        <v>155</v>
      </c>
      <c r="AK1" s="67" t="s">
        <v>36</v>
      </c>
      <c r="AL1" s="67" t="s">
        <v>55</v>
      </c>
      <c r="AO1" s="67"/>
      <c r="AP1" s="67"/>
      <c r="AQ1" s="67"/>
      <c r="AR1" s="67"/>
      <c r="AS1" s="67"/>
      <c r="AT1" s="67"/>
      <c r="AU1" s="67"/>
      <c r="AV1" s="67"/>
      <c r="AW1" s="67"/>
      <c r="AX1" s="67"/>
      <c r="AY1" s="67"/>
      <c r="AZ1" s="67"/>
      <c r="BC1" s="67"/>
      <c r="BD1" s="67"/>
      <c r="BE1" s="67"/>
      <c r="BF1" s="67"/>
      <c r="BG1" s="67"/>
      <c r="BH1" s="67"/>
      <c r="BI1" s="67"/>
      <c r="BK1" s="67"/>
      <c r="BL1" s="67"/>
      <c r="BM1" s="67"/>
      <c r="BN1" s="67"/>
      <c r="BO1" s="67"/>
      <c r="BX1" s="67"/>
    </row>
    <row r="2" spans="1:76" s="37" customFormat="1" x14ac:dyDescent="0.25">
      <c r="A2" s="84">
        <f>products_parts[[#This Row],[Total Price]]+ROW()*0.0001</f>
        <v>3069.0001999999999</v>
      </c>
      <c r="B2" s="75">
        <f>products_parts[[#This Row],[cap_uf]]/1000000</f>
        <v>0.41</v>
      </c>
      <c r="C2" s="93">
        <f>products_parts[[#This Row],[Cap]]*products_parts[Total Parallel]/products_parts[Cells in Series]</f>
        <v>27.06</v>
      </c>
      <c r="D2" s="75">
        <f>PI()*((products_parts[[#This Row],[diameter]]/2)^2)*products_parts[[#This Row],[length]]/1000000</f>
        <v>0</v>
      </c>
      <c r="E2" s="75">
        <f>IF(products_parts[[#This Row],[Volume (L)]]=0,products_parts[[#This Row],[Height]]*products_parts[[#This Row],[length]]*products_parts[[#This Row],[Width Total]]/1000000,products_parts[[#This Row],[Volume (L)]])</f>
        <v>3.6608000000000002E-2</v>
      </c>
      <c r="F2" s="75">
        <f>products_parts[esr_dc]*products_parts[Cells in Series]/products_parts[Total Parallel]</f>
        <v>30</v>
      </c>
      <c r="G2" s="75">
        <f>IF(products_parts[[#This Row],[height2]]=0,products_parts[[#This Row],[length]]-products_parts[[#This Row],[lead_space_s]],products_parts[[#This Row],[height2]])</f>
        <v>26</v>
      </c>
      <c r="H2" s="85">
        <f>IF(products_parts[[#This Row],[thickness]]=0,IF(products_parts[[#This Row],[width]]=0,products_parts[[#This Row],[diameter]],products_parts[[#This Row],[width]]),products_parts[[#This Row],[thickness]])</f>
        <v>22</v>
      </c>
      <c r="I2" s="85">
        <f>IF(products_parts[[#This Row],[voltage]]=0,1000,ROUNDUP(WorkingV/products_parts[Operating Voltage (temp)],0))</f>
        <v>1</v>
      </c>
      <c r="J2" s="75">
        <f>ROUNDUP(Constant/(WorkingV-MinV)*((products_parts[esr_dc]/1000*products_parts[[#This Row],[Cap]])+Time)*products_parts[[#This Row],[Cells in Series]]/products_parts[[#This Row],[Cap]],0)</f>
        <v>66</v>
      </c>
      <c r="K2" s="78">
        <f>ROUNDUP(((Constant/WorkingV+Constant/MinV)/2)*(((products_parts[esr_dc]/1000*products_parts[Cap]))+Time)/(WorkingV-MinV)*(products_parts[[#This Row],[Cells in Series]]/products_parts[Cap]),0)</f>
        <v>7</v>
      </c>
      <c r="L2" s="79">
        <f>IF(Calculations!$J$2=1,products_parts[Cells in Parallel],products_parts[Parallel CP])</f>
        <v>66</v>
      </c>
      <c r="M2" s="75">
        <f>products_parts[[#This Row],[Cells in Series]]*products_parts[[#This Row],[Total Parallel]]</f>
        <v>66</v>
      </c>
      <c r="N2" s="76">
        <f>products_parts[[#This Row],[Price per Cell]]*products_parts[[#This Row],[Total '# of Caps]]</f>
        <v>3069</v>
      </c>
      <c r="O2" s="77">
        <f>products_parts[[#This Row],[Calculated Volume]]*products_parts[[#This Row],[Total '# of Caps]]</f>
        <v>2.4161280000000001</v>
      </c>
      <c r="P2" s="77">
        <f>products_parts[[#This Row],[weight]]*products_parts[[#This Row],[Total '# of Caps]]</f>
        <v>0</v>
      </c>
      <c r="Q2" s="78" t="b">
        <f>AND(products_parts[[#This Row],[Height]]&gt;MIN(Calculations!$K$2,Calculations!$L$2),products_parts[[#This Row],[Height]]&lt;MAX(Calculations!$K$2,Calculations!$L$2))</f>
        <v>1</v>
      </c>
      <c r="R2" s="86">
        <f>IF(ISNUMBER(SEARCH("TPL",products_parts[[#This Row],[series]])),1,IF(products_parts[[#This Row],[series]]="PC",1,IF(ISNUMBER(SEARCH("PBL",products_parts[[#This Row],[series]])),2,2)))</f>
        <v>2</v>
      </c>
      <c r="S2" s="78" t="str">
        <f>IF(TempRange=2,IF(products_parts[[#This Row],[voltage2]]=0,"0","1"),"1")</f>
        <v>1</v>
      </c>
      <c r="T2" s="79">
        <f>IF(TempRange=1,products_parts[voltage],products_parts[voltage2])</f>
        <v>32.4</v>
      </c>
      <c r="U2" s="79" t="str">
        <f>IF(ISNUMBER(SEARCH("PBL ",products_parts[series])),"PBL",products_parts[series])</f>
        <v>PBLS</v>
      </c>
      <c r="V2" s="87" t="s">
        <v>84</v>
      </c>
      <c r="W2" s="87" t="s">
        <v>118</v>
      </c>
      <c r="X2" s="68">
        <v>32.4</v>
      </c>
      <c r="Y2" s="68">
        <v>0</v>
      </c>
      <c r="Z2" s="68">
        <v>410000</v>
      </c>
      <c r="AA2" s="68">
        <v>1980</v>
      </c>
      <c r="AB2" s="68">
        <v>0.32</v>
      </c>
      <c r="AC2" s="68">
        <v>0</v>
      </c>
      <c r="AD2" s="68">
        <v>64</v>
      </c>
      <c r="AE2" s="68">
        <v>0</v>
      </c>
      <c r="AF2" s="68">
        <v>26</v>
      </c>
      <c r="AG2" s="68">
        <v>22</v>
      </c>
      <c r="AH2" s="68">
        <v>0</v>
      </c>
      <c r="AI2" s="87" t="s">
        <v>37</v>
      </c>
      <c r="AJ2" s="87" t="s">
        <v>156</v>
      </c>
      <c r="AK2" s="68">
        <v>0</v>
      </c>
      <c r="AL2" s="68">
        <v>46.5</v>
      </c>
    </row>
    <row r="3" spans="1:76" s="37" customFormat="1" x14ac:dyDescent="0.25">
      <c r="A3" s="84">
        <f>products_parts[[#This Row],[Total Price]]+ROW()*0.0001</f>
        <v>1567.5002999999999</v>
      </c>
      <c r="B3" s="75">
        <f>products_parts[[#This Row],[cap_uf]]/1000000</f>
        <v>0.83</v>
      </c>
      <c r="C3" s="93">
        <f>products_parts[[#This Row],[Cap]]*products_parts[Total Parallel]/products_parts[Cells in Series]</f>
        <v>27.389999999999997</v>
      </c>
      <c r="D3" s="75">
        <f>PI()*((products_parts[[#This Row],[diameter]]/2)^2)*products_parts[[#This Row],[length]]/1000000</f>
        <v>0</v>
      </c>
      <c r="E3" s="75">
        <f>IF(products_parts[[#This Row],[Volume (L)]]=0,products_parts[[#This Row],[Height]]*products_parts[[#This Row],[length]]*products_parts[[#This Row],[Width Total]]/1000000,products_parts[[#This Row],[Volume (L)]])</f>
        <v>5.0687999999999997E-2</v>
      </c>
      <c r="F3" s="75">
        <f>products_parts[esr_dc]*products_parts[Cells in Series]/products_parts[Total Parallel]</f>
        <v>32.727272727272727</v>
      </c>
      <c r="G3" s="75">
        <f>IF(products_parts[[#This Row],[height2]]=0,products_parts[[#This Row],[length]]-products_parts[[#This Row],[lead_space_s]],products_parts[[#This Row],[height2]])</f>
        <v>36</v>
      </c>
      <c r="H3" s="85">
        <f>IF(products_parts[[#This Row],[thickness]]=0,IF(products_parts[[#This Row],[width]]=0,products_parts[[#This Row],[diameter]],products_parts[[#This Row],[width]]),products_parts[[#This Row],[thickness]])</f>
        <v>22</v>
      </c>
      <c r="I3" s="85">
        <f>IF(products_parts[[#This Row],[voltage]]=0,1000,ROUNDUP(WorkingV/products_parts[Operating Voltage (temp)],0))</f>
        <v>1</v>
      </c>
      <c r="J3" s="75">
        <f>ROUNDUP(Constant/(WorkingV-MinV)*((products_parts[esr_dc]/1000*products_parts[[#This Row],[Cap]])+Time)*products_parts[[#This Row],[Cells in Series]]/products_parts[[#This Row],[Cap]],0)</f>
        <v>33</v>
      </c>
      <c r="K3" s="79">
        <f>ROUNDUP(((Constant/WorkingV+Constant/MinV)/2)*(((products_parts[esr_dc]/1000*products_parts[Cap]))+Time)/(WorkingV-MinV)*(products_parts[[#This Row],[Cells in Series]]/products_parts[Cap]),0)</f>
        <v>4</v>
      </c>
      <c r="L3" s="79">
        <f>IF(Calculations!$J$2=1,products_parts[Cells in Parallel],products_parts[Parallel CP])</f>
        <v>33</v>
      </c>
      <c r="M3" s="75">
        <f>products_parts[[#This Row],[Cells in Series]]*products_parts[[#This Row],[Total Parallel]]</f>
        <v>33</v>
      </c>
      <c r="N3" s="76">
        <f>products_parts[[#This Row],[Price per Cell]]*products_parts[[#This Row],[Total '# of Caps]]</f>
        <v>1567.5</v>
      </c>
      <c r="O3" s="77">
        <f>products_parts[[#This Row],[Calculated Volume]]*products_parts[[#This Row],[Total '# of Caps]]</f>
        <v>1.672704</v>
      </c>
      <c r="P3" s="77">
        <f>products_parts[[#This Row],[weight]]*products_parts[[#This Row],[Total '# of Caps]]</f>
        <v>0</v>
      </c>
      <c r="Q3" s="78" t="b">
        <f>AND(products_parts[[#This Row],[Height]]&gt;MIN(Calculations!$K$2,Calculations!$L$2),products_parts[[#This Row],[Height]]&lt;MAX(Calculations!$K$2,Calculations!$L$2))</f>
        <v>1</v>
      </c>
      <c r="R3" s="86">
        <f>IF(ISNUMBER(SEARCH("TPL",products_parts[[#This Row],[series]])),1,IF(products_parts[[#This Row],[series]]="PC",1,IF(ISNUMBER(SEARCH("PBL",products_parts[[#This Row],[series]])),2,2)))</f>
        <v>2</v>
      </c>
      <c r="S3" s="78" t="str">
        <f>IF(TempRange=2,IF(products_parts[[#This Row],[voltage2]]=0,"0","1"),"1")</f>
        <v>1</v>
      </c>
      <c r="T3" s="78">
        <f>IF(TempRange=1,products_parts[voltage],products_parts[voltage2])</f>
        <v>32.4</v>
      </c>
      <c r="U3" s="79" t="str">
        <f>IF(ISNUMBER(SEARCH("PBL ",products_parts[series])),"PBL",products_parts[series])</f>
        <v>PBLS</v>
      </c>
      <c r="V3" s="87" t="s">
        <v>84</v>
      </c>
      <c r="W3" s="87" t="s">
        <v>119</v>
      </c>
      <c r="X3" s="68">
        <v>32.4</v>
      </c>
      <c r="Y3" s="68">
        <v>0</v>
      </c>
      <c r="Z3" s="68">
        <v>830000</v>
      </c>
      <c r="AA3" s="68">
        <v>1080</v>
      </c>
      <c r="AB3" s="68">
        <v>0.33</v>
      </c>
      <c r="AC3" s="68">
        <v>0</v>
      </c>
      <c r="AD3" s="68">
        <v>64</v>
      </c>
      <c r="AE3" s="68">
        <v>0</v>
      </c>
      <c r="AF3" s="68">
        <v>36</v>
      </c>
      <c r="AG3" s="68">
        <v>22</v>
      </c>
      <c r="AH3" s="68">
        <v>0</v>
      </c>
      <c r="AI3" s="87" t="s">
        <v>37</v>
      </c>
      <c r="AJ3" s="87" t="s">
        <v>156</v>
      </c>
      <c r="AK3" s="68">
        <v>0</v>
      </c>
      <c r="AL3" s="68">
        <v>47.5</v>
      </c>
    </row>
    <row r="4" spans="1:76" s="37" customFormat="1" x14ac:dyDescent="0.25">
      <c r="A4" s="84">
        <f>products_parts[[#This Row],[Total Price]]+ROW()*0.0001</f>
        <v>1076.6404</v>
      </c>
      <c r="B4" s="75">
        <f>products_parts[[#This Row],[cap_uf]]/1000000</f>
        <v>1.83</v>
      </c>
      <c r="C4" s="93">
        <f>products_parts[[#This Row],[Cap]]*products_parts[Total Parallel]/products_parts[Cells in Series]</f>
        <v>29.28</v>
      </c>
      <c r="D4" s="75">
        <f>PI()*((products_parts[[#This Row],[diameter]]/2)^2)*products_parts[[#This Row],[length]]/1000000</f>
        <v>0</v>
      </c>
      <c r="E4" s="75">
        <f>IF(products_parts[[#This Row],[Volume (L)]]=0,products_parts[[#This Row],[Height]]*products_parts[[#This Row],[length]]*products_parts[[#This Row],[Width Total]]/1000000,products_parts[[#This Row],[Volume (L)]])</f>
        <v>8.9585999999999999E-2</v>
      </c>
      <c r="F4" s="75">
        <f>products_parts[esr_dc]*products_parts[Cells in Series]/products_parts[Total Parallel]</f>
        <v>37.5</v>
      </c>
      <c r="G4" s="75">
        <f>IF(products_parts[[#This Row],[height2]]=0,products_parts[[#This Row],[length]]-products_parts[[#This Row],[lead_space_s]],products_parts[[#This Row],[height2]])</f>
        <v>42</v>
      </c>
      <c r="H4" s="85">
        <f>IF(products_parts[[#This Row],[thickness]]=0,IF(products_parts[[#This Row],[width]]=0,products_parts[[#This Row],[diameter]],products_parts[[#This Row],[width]]),products_parts[[#This Row],[thickness]])</f>
        <v>27</v>
      </c>
      <c r="I4" s="85">
        <f>IF(products_parts[[#This Row],[voltage]]=0,1000,ROUNDUP(WorkingV/products_parts[Operating Voltage (temp)],0))</f>
        <v>1</v>
      </c>
      <c r="J4" s="75">
        <f>ROUNDUP(Constant/(WorkingV-MinV)*((products_parts[esr_dc]/1000*products_parts[[#This Row],[Cap]])+Time)*products_parts[[#This Row],[Cells in Series]]/products_parts[[#This Row],[Cap]],0)</f>
        <v>16</v>
      </c>
      <c r="K4" s="79">
        <f>ROUNDUP(((Constant/WorkingV+Constant/MinV)/2)*(((products_parts[esr_dc]/1000*products_parts[Cap]))+Time)/(WorkingV-MinV)*(products_parts[[#This Row],[Cells in Series]]/products_parts[Cap]),0)</f>
        <v>2</v>
      </c>
      <c r="L4" s="79">
        <f>IF(Calculations!$J$2=1,products_parts[Cells in Parallel],products_parts[Parallel CP])</f>
        <v>16</v>
      </c>
      <c r="M4" s="75">
        <f>products_parts[[#This Row],[Cells in Series]]*products_parts[[#This Row],[Total Parallel]]</f>
        <v>16</v>
      </c>
      <c r="N4" s="76">
        <f>products_parts[[#This Row],[Price per Cell]]*products_parts[[#This Row],[Total '# of Caps]]</f>
        <v>1076.6400000000001</v>
      </c>
      <c r="O4" s="77">
        <f>products_parts[[#This Row],[Calculated Volume]]*products_parts[[#This Row],[Total '# of Caps]]</f>
        <v>1.433376</v>
      </c>
      <c r="P4" s="77">
        <f>products_parts[[#This Row],[weight]]*products_parts[[#This Row],[Total '# of Caps]]</f>
        <v>0</v>
      </c>
      <c r="Q4" s="78" t="b">
        <f>AND(products_parts[[#This Row],[Height]]&gt;MIN(Calculations!$K$2,Calculations!$L$2),products_parts[[#This Row],[Height]]&lt;MAX(Calculations!$K$2,Calculations!$L$2))</f>
        <v>1</v>
      </c>
      <c r="R4" s="86">
        <f>IF(ISNUMBER(SEARCH("TPL",products_parts[[#This Row],[series]])),1,IF(products_parts[[#This Row],[series]]="PC",1,IF(ISNUMBER(SEARCH("PBL",products_parts[[#This Row],[series]])),2,2)))</f>
        <v>2</v>
      </c>
      <c r="S4" s="86" t="str">
        <f>IF(TempRange=2,IF(products_parts[[#This Row],[voltage2]]=0,"0","1"),"1")</f>
        <v>1</v>
      </c>
      <c r="T4" s="78">
        <f>IF(TempRange=1,products_parts[voltage],products_parts[voltage2])</f>
        <v>32.4</v>
      </c>
      <c r="U4" s="79" t="str">
        <f>IF(ISNUMBER(SEARCH("PBL ",products_parts[series])),"PBL",products_parts[series])</f>
        <v>PBLS</v>
      </c>
      <c r="V4" s="87" t="s">
        <v>84</v>
      </c>
      <c r="W4" s="87" t="s">
        <v>120</v>
      </c>
      <c r="X4" s="68">
        <v>32.4</v>
      </c>
      <c r="Y4" s="68">
        <v>0</v>
      </c>
      <c r="Z4" s="68">
        <v>1830000</v>
      </c>
      <c r="AA4" s="68">
        <v>600</v>
      </c>
      <c r="AB4" s="68">
        <v>1.41</v>
      </c>
      <c r="AC4" s="68">
        <v>0</v>
      </c>
      <c r="AD4" s="68">
        <v>79</v>
      </c>
      <c r="AE4" s="68">
        <v>0</v>
      </c>
      <c r="AF4" s="68">
        <v>42</v>
      </c>
      <c r="AG4" s="68">
        <v>27</v>
      </c>
      <c r="AH4" s="68">
        <v>0</v>
      </c>
      <c r="AI4" s="87" t="s">
        <v>37</v>
      </c>
      <c r="AJ4" s="87" t="s">
        <v>156</v>
      </c>
      <c r="AK4" s="68">
        <v>0</v>
      </c>
      <c r="AL4" s="68">
        <v>67.290000000000006</v>
      </c>
    </row>
    <row r="5" spans="1:76" s="37" customFormat="1" x14ac:dyDescent="0.25">
      <c r="A5" s="84">
        <f>products_parts[[#This Row],[Total Price]]+ROW()*0.0001</f>
        <v>962.26049999999998</v>
      </c>
      <c r="B5" s="75">
        <f>products_parts[[#This Row],[cap_uf]]/1000000</f>
        <v>2.33</v>
      </c>
      <c r="C5" s="93">
        <f>products_parts[[#This Row],[Cap]]*products_parts[Total Parallel]/products_parts[Cells in Series]</f>
        <v>30.29</v>
      </c>
      <c r="D5" s="75">
        <f>PI()*((products_parts[[#This Row],[diameter]]/2)^2)*products_parts[[#This Row],[length]]/1000000</f>
        <v>0</v>
      </c>
      <c r="E5" s="75">
        <f>IF(products_parts[[#This Row],[Volume (L)]]=0,products_parts[[#This Row],[Height]]*products_parts[[#This Row],[length]]*products_parts[[#This Row],[Width Total]]/1000000,products_parts[[#This Row],[Volume (L)]])</f>
        <v>9.8117999999999997E-2</v>
      </c>
      <c r="F5" s="75">
        <f>products_parts[esr_dc]*products_parts[Cells in Series]/products_parts[Total Parallel]</f>
        <v>39.692307692307693</v>
      </c>
      <c r="G5" s="75">
        <f>IF(products_parts[[#This Row],[height2]]=0,products_parts[[#This Row],[length]]-products_parts[[#This Row],[lead_space_s]],products_parts[[#This Row],[height2]])</f>
        <v>46</v>
      </c>
      <c r="H5" s="85">
        <f>IF(products_parts[[#This Row],[thickness]]=0,IF(products_parts[[#This Row],[width]]=0,products_parts[[#This Row],[diameter]],products_parts[[#This Row],[width]]),products_parts[[#This Row],[thickness]])</f>
        <v>27</v>
      </c>
      <c r="I5" s="85">
        <f>IF(products_parts[[#This Row],[voltage]]=0,1000,ROUNDUP(WorkingV/products_parts[Operating Voltage (temp)],0))</f>
        <v>1</v>
      </c>
      <c r="J5" s="75">
        <f>ROUNDUP(Constant/(WorkingV-MinV)*((products_parts[esr_dc]/1000*products_parts[[#This Row],[Cap]])+Time)*products_parts[[#This Row],[Cells in Series]]/products_parts[[#This Row],[Cap]],0)</f>
        <v>13</v>
      </c>
      <c r="K5" s="78">
        <f>ROUNDUP(((Constant/WorkingV+Constant/MinV)/2)*(((products_parts[esr_dc]/1000*products_parts[Cap]))+Time)/(WorkingV-MinV)*(products_parts[[#This Row],[Cells in Series]]/products_parts[Cap]),0)</f>
        <v>2</v>
      </c>
      <c r="L5" s="79">
        <f>IF(Calculations!$J$2=1,products_parts[Cells in Parallel],products_parts[Parallel CP])</f>
        <v>13</v>
      </c>
      <c r="M5" s="75">
        <f>products_parts[[#This Row],[Cells in Series]]*products_parts[[#This Row],[Total Parallel]]</f>
        <v>13</v>
      </c>
      <c r="N5" s="76">
        <f>products_parts[[#This Row],[Price per Cell]]*products_parts[[#This Row],[Total '# of Caps]]</f>
        <v>962.26</v>
      </c>
      <c r="O5" s="77">
        <f>products_parts[[#This Row],[Calculated Volume]]*products_parts[[#This Row],[Total '# of Caps]]</f>
        <v>1.2755339999999999</v>
      </c>
      <c r="P5" s="77">
        <f>products_parts[[#This Row],[weight]]*products_parts[[#This Row],[Total '# of Caps]]</f>
        <v>0</v>
      </c>
      <c r="Q5" s="78" t="b">
        <f>AND(products_parts[[#This Row],[Height]]&gt;MIN(Calculations!$K$2,Calculations!$L$2),products_parts[[#This Row],[Height]]&lt;MAX(Calculations!$K$2,Calculations!$L$2))</f>
        <v>1</v>
      </c>
      <c r="R5" s="86">
        <f>IF(ISNUMBER(SEARCH("TPL",products_parts[[#This Row],[series]])),1,IF(products_parts[[#This Row],[series]]="PC",1,IF(ISNUMBER(SEARCH("PBL",products_parts[[#This Row],[series]])),2,2)))</f>
        <v>2</v>
      </c>
      <c r="S5" s="86" t="str">
        <f>IF(TempRange=2,IF(products_parts[[#This Row],[voltage2]]=0,"0","1"),"1")</f>
        <v>1</v>
      </c>
      <c r="T5" s="79">
        <f>IF(TempRange=1,products_parts[voltage],products_parts[voltage2])</f>
        <v>32.4</v>
      </c>
      <c r="U5" s="79" t="str">
        <f>IF(ISNUMBER(SEARCH("PBL ",products_parts[series])),"PBL",products_parts[series])</f>
        <v>PBLS</v>
      </c>
      <c r="V5" s="87" t="s">
        <v>84</v>
      </c>
      <c r="W5" s="87" t="s">
        <v>121</v>
      </c>
      <c r="X5" s="68">
        <v>32.4</v>
      </c>
      <c r="Y5" s="68">
        <v>0</v>
      </c>
      <c r="Z5" s="68">
        <v>2330000</v>
      </c>
      <c r="AA5" s="68">
        <v>516</v>
      </c>
      <c r="AB5" s="68">
        <v>1.41</v>
      </c>
      <c r="AC5" s="68">
        <v>0</v>
      </c>
      <c r="AD5" s="68">
        <v>79</v>
      </c>
      <c r="AE5" s="68">
        <v>0</v>
      </c>
      <c r="AF5" s="68">
        <v>46</v>
      </c>
      <c r="AG5" s="68">
        <v>27</v>
      </c>
      <c r="AH5" s="68">
        <v>0</v>
      </c>
      <c r="AI5" s="87" t="s">
        <v>37</v>
      </c>
      <c r="AJ5" s="87" t="s">
        <v>156</v>
      </c>
      <c r="AK5" s="68">
        <v>0</v>
      </c>
      <c r="AL5" s="68">
        <v>74.02</v>
      </c>
    </row>
    <row r="6" spans="1:76" s="37" customFormat="1" x14ac:dyDescent="0.25">
      <c r="A6" s="84">
        <f>products_parts[[#This Row],[Total Price]]+ROW()*0.0001</f>
        <v>807.50059999999996</v>
      </c>
      <c r="B6" s="75">
        <f>products_parts[[#This Row],[cap_uf]]/1000000</f>
        <v>2.83</v>
      </c>
      <c r="C6" s="93">
        <f>products_parts[[#This Row],[Cap]]*products_parts[Total Parallel]/products_parts[Cells in Series]</f>
        <v>28.3</v>
      </c>
      <c r="D6" s="75">
        <f>PI()*((products_parts[[#This Row],[diameter]]/2)^2)*products_parts[[#This Row],[length]]/1000000</f>
        <v>0</v>
      </c>
      <c r="E6" s="75">
        <f>IF(products_parts[[#This Row],[Volume (L)]]=0,products_parts[[#This Row],[Height]]*products_parts[[#This Row],[length]]*products_parts[[#This Row],[Width Total]]/1000000,products_parts[[#This Row],[Volume (L)]])</f>
        <v>0.110916</v>
      </c>
      <c r="F6" s="75">
        <f>products_parts[esr_dc]*products_parts[Cells in Series]/products_parts[Total Parallel]</f>
        <v>42</v>
      </c>
      <c r="G6" s="75">
        <f>IF(products_parts[[#This Row],[height2]]=0,products_parts[[#This Row],[length]]-products_parts[[#This Row],[lead_space_s]],products_parts[[#This Row],[height2]])</f>
        <v>52</v>
      </c>
      <c r="H6" s="85">
        <f>IF(products_parts[[#This Row],[thickness]]=0,IF(products_parts[[#This Row],[width]]=0,products_parts[[#This Row],[diameter]],products_parts[[#This Row],[width]]),products_parts[[#This Row],[thickness]])</f>
        <v>27</v>
      </c>
      <c r="I6" s="85">
        <f>IF(products_parts[[#This Row],[voltage]]=0,1000,ROUNDUP(WorkingV/products_parts[Operating Voltage (temp)],0))</f>
        <v>1</v>
      </c>
      <c r="J6" s="75">
        <f>ROUNDUP(Constant/(WorkingV-MinV)*((products_parts[esr_dc]/1000*products_parts[[#This Row],[Cap]])+Time)*products_parts[[#This Row],[Cells in Series]]/products_parts[[#This Row],[Cap]],0)</f>
        <v>10</v>
      </c>
      <c r="K6" s="79">
        <f>ROUNDUP(((Constant/WorkingV+Constant/MinV)/2)*(((products_parts[esr_dc]/1000*products_parts[Cap]))+Time)/(WorkingV-MinV)*(products_parts[[#This Row],[Cells in Series]]/products_parts[Cap]),0)</f>
        <v>1</v>
      </c>
      <c r="L6" s="79">
        <f>IF(Calculations!$J$2=1,products_parts[Cells in Parallel],products_parts[Parallel CP])</f>
        <v>10</v>
      </c>
      <c r="M6" s="75">
        <f>products_parts[[#This Row],[Cells in Series]]*products_parts[[#This Row],[Total Parallel]]</f>
        <v>10</v>
      </c>
      <c r="N6" s="76">
        <f>products_parts[[#This Row],[Price per Cell]]*products_parts[[#This Row],[Total '# of Caps]]</f>
        <v>807.5</v>
      </c>
      <c r="O6" s="77">
        <f>products_parts[[#This Row],[Calculated Volume]]*products_parts[[#This Row],[Total '# of Caps]]</f>
        <v>1.1091599999999999</v>
      </c>
      <c r="P6" s="77">
        <f>products_parts[[#This Row],[weight]]*products_parts[[#This Row],[Total '# of Caps]]</f>
        <v>0</v>
      </c>
      <c r="Q6" s="78" t="b">
        <f>AND(products_parts[[#This Row],[Height]]&gt;MIN(Calculations!$K$2,Calculations!$L$2),products_parts[[#This Row],[Height]]&lt;MAX(Calculations!$K$2,Calculations!$L$2))</f>
        <v>1</v>
      </c>
      <c r="R6" s="86">
        <f>IF(ISNUMBER(SEARCH("TPL",products_parts[[#This Row],[series]])),1,IF(products_parts[[#This Row],[series]]="PC",1,IF(ISNUMBER(SEARCH("PBL",products_parts[[#This Row],[series]])),2,2)))</f>
        <v>2</v>
      </c>
      <c r="S6" s="78" t="str">
        <f>IF(TempRange=2,IF(products_parts[[#This Row],[voltage2]]=0,"0","1"),"1")</f>
        <v>1</v>
      </c>
      <c r="T6" s="78">
        <f>IF(TempRange=1,products_parts[voltage],products_parts[voltage2])</f>
        <v>32.4</v>
      </c>
      <c r="U6" s="79" t="str">
        <f>IF(ISNUMBER(SEARCH("PBL ",products_parts[series])),"PBL",products_parts[series])</f>
        <v>PBLS</v>
      </c>
      <c r="V6" s="87" t="s">
        <v>84</v>
      </c>
      <c r="W6" s="87" t="s">
        <v>122</v>
      </c>
      <c r="X6" s="68">
        <v>32.4</v>
      </c>
      <c r="Y6" s="68">
        <v>0</v>
      </c>
      <c r="Z6" s="68">
        <v>2830000</v>
      </c>
      <c r="AA6" s="68">
        <v>420</v>
      </c>
      <c r="AB6" s="68">
        <v>1.42</v>
      </c>
      <c r="AC6" s="68">
        <v>0</v>
      </c>
      <c r="AD6" s="68">
        <v>79</v>
      </c>
      <c r="AE6" s="68">
        <v>0</v>
      </c>
      <c r="AF6" s="68">
        <v>52</v>
      </c>
      <c r="AG6" s="68">
        <v>27</v>
      </c>
      <c r="AH6" s="68">
        <v>0</v>
      </c>
      <c r="AI6" s="87" t="s">
        <v>37</v>
      </c>
      <c r="AJ6" s="87" t="s">
        <v>156</v>
      </c>
      <c r="AK6" s="68">
        <v>0</v>
      </c>
      <c r="AL6" s="68">
        <v>80.75</v>
      </c>
    </row>
    <row r="7" spans="1:76" s="37" customFormat="1" x14ac:dyDescent="0.25">
      <c r="A7" s="84">
        <f>products_parts[[#This Row],[Total Price]]+ROW()*0.0001</f>
        <v>787.23070000000007</v>
      </c>
      <c r="B7" s="75">
        <f>products_parts[[#This Row],[cap_uf]]/1000000</f>
        <v>3.33</v>
      </c>
      <c r="C7" s="93">
        <f>products_parts[[#This Row],[Cap]]*products_parts[Total Parallel]/products_parts[Cells in Series]</f>
        <v>29.97</v>
      </c>
      <c r="D7" s="75">
        <f>PI()*((products_parts[[#This Row],[diameter]]/2)^2)*products_parts[[#This Row],[length]]/1000000</f>
        <v>0</v>
      </c>
      <c r="E7" s="75">
        <f>IF(products_parts[[#This Row],[Volume (L)]]=0,products_parts[[#This Row],[Height]]*products_parts[[#This Row],[length]]*products_parts[[#This Row],[Width Total]]/1000000,products_parts[[#This Row],[Volume (L)]])</f>
        <v>0.110916</v>
      </c>
      <c r="F7" s="75">
        <f>products_parts[esr_dc]*products_parts[Cells in Series]/products_parts[Total Parallel]</f>
        <v>40</v>
      </c>
      <c r="G7" s="75">
        <f>IF(products_parts[[#This Row],[height2]]=0,products_parts[[#This Row],[length]]-products_parts[[#This Row],[lead_space_s]],products_parts[[#This Row],[height2]])</f>
        <v>52</v>
      </c>
      <c r="H7" s="85">
        <f>IF(products_parts[[#This Row],[thickness]]=0,IF(products_parts[[#This Row],[width]]=0,products_parts[[#This Row],[diameter]],products_parts[[#This Row],[width]]),products_parts[[#This Row],[thickness]])</f>
        <v>27</v>
      </c>
      <c r="I7" s="85">
        <f>IF(products_parts[[#This Row],[voltage]]=0,1000,ROUNDUP(WorkingV/products_parts[Operating Voltage (temp)],0))</f>
        <v>1</v>
      </c>
      <c r="J7" s="75">
        <f>ROUNDUP(Constant/(WorkingV-MinV)*((products_parts[esr_dc]/1000*products_parts[[#This Row],[Cap]])+Time)*products_parts[[#This Row],[Cells in Series]]/products_parts[[#This Row],[Cap]],0)</f>
        <v>9</v>
      </c>
      <c r="K7" s="78">
        <f>ROUNDUP(((Constant/WorkingV+Constant/MinV)/2)*(((products_parts[esr_dc]/1000*products_parts[Cap]))+Time)/(WorkingV-MinV)*(products_parts[[#This Row],[Cells in Series]]/products_parts[Cap]),0)</f>
        <v>1</v>
      </c>
      <c r="L7" s="79">
        <f>IF(Calculations!$J$2=1,products_parts[Cells in Parallel],products_parts[Parallel CP])</f>
        <v>9</v>
      </c>
      <c r="M7" s="75">
        <f>products_parts[[#This Row],[Cells in Series]]*products_parts[[#This Row],[Total Parallel]]</f>
        <v>9</v>
      </c>
      <c r="N7" s="76">
        <f>products_parts[[#This Row],[Price per Cell]]*products_parts[[#This Row],[Total '# of Caps]]</f>
        <v>787.23</v>
      </c>
      <c r="O7" s="77">
        <f>products_parts[[#This Row],[Calculated Volume]]*products_parts[[#This Row],[Total '# of Caps]]</f>
        <v>0.99824400000000002</v>
      </c>
      <c r="P7" s="77">
        <f>products_parts[[#This Row],[weight]]*products_parts[[#This Row],[Total '# of Caps]]</f>
        <v>0</v>
      </c>
      <c r="Q7" s="78" t="b">
        <f>AND(products_parts[[#This Row],[Height]]&gt;MIN(Calculations!$K$2,Calculations!$L$2),products_parts[[#This Row],[Height]]&lt;MAX(Calculations!$K$2,Calculations!$L$2))</f>
        <v>1</v>
      </c>
      <c r="R7" s="86">
        <f>IF(ISNUMBER(SEARCH("TPL",products_parts[[#This Row],[series]])),1,IF(products_parts[[#This Row],[series]]="PC",1,IF(ISNUMBER(SEARCH("PBL",products_parts[[#This Row],[series]])),2,2)))</f>
        <v>2</v>
      </c>
      <c r="S7" s="78" t="str">
        <f>IF(TempRange=2,IF(products_parts[[#This Row],[voltage2]]=0,"0","1"),"1")</f>
        <v>1</v>
      </c>
      <c r="T7" s="78">
        <f>IF(TempRange=1,products_parts[voltage],products_parts[voltage2])</f>
        <v>32.4</v>
      </c>
      <c r="U7" s="79" t="str">
        <f>IF(ISNUMBER(SEARCH("PBL ",products_parts[series])),"PBL",products_parts[series])</f>
        <v>PBLS</v>
      </c>
      <c r="V7" s="87" t="s">
        <v>84</v>
      </c>
      <c r="W7" s="87" t="s">
        <v>123</v>
      </c>
      <c r="X7" s="68">
        <v>32.4</v>
      </c>
      <c r="Y7" s="68">
        <v>0</v>
      </c>
      <c r="Z7" s="68">
        <v>3330000</v>
      </c>
      <c r="AA7" s="68">
        <v>360</v>
      </c>
      <c r="AB7" s="68">
        <v>1.43</v>
      </c>
      <c r="AC7" s="68">
        <v>0</v>
      </c>
      <c r="AD7" s="68">
        <v>79</v>
      </c>
      <c r="AE7" s="68">
        <v>0</v>
      </c>
      <c r="AF7" s="68">
        <v>52</v>
      </c>
      <c r="AG7" s="68">
        <v>27</v>
      </c>
      <c r="AH7" s="68">
        <v>0</v>
      </c>
      <c r="AI7" s="87" t="s">
        <v>37</v>
      </c>
      <c r="AJ7" s="87" t="s">
        <v>156</v>
      </c>
      <c r="AK7" s="68">
        <v>0</v>
      </c>
      <c r="AL7" s="68">
        <v>87.47</v>
      </c>
    </row>
    <row r="8" spans="1:76" s="37" customFormat="1" x14ac:dyDescent="0.25">
      <c r="A8" s="84">
        <f>products_parts[[#This Row],[Total Price]]+ROW()*0.0001</f>
        <v>753.60080000000005</v>
      </c>
      <c r="B8" s="75">
        <f>products_parts[[#This Row],[cap_uf]]/1000000</f>
        <v>3.75</v>
      </c>
      <c r="C8" s="93">
        <f>products_parts[[#This Row],[Cap]]*products_parts[Total Parallel]/products_parts[Cells in Series]</f>
        <v>30</v>
      </c>
      <c r="D8" s="75">
        <f>PI()*((products_parts[[#This Row],[diameter]]/2)^2)*products_parts[[#This Row],[length]]/1000000</f>
        <v>0</v>
      </c>
      <c r="E8" s="75">
        <f>IF(products_parts[[#This Row],[Volume (L)]]=0,products_parts[[#This Row],[Height]]*products_parts[[#This Row],[length]]*products_parts[[#This Row],[Width Total]]/1000000,products_parts[[#This Row],[Volume (L)]])</f>
        <v>0.13011300000000001</v>
      </c>
      <c r="F8" s="75">
        <f>products_parts[esr_dc]*products_parts[Cells in Series]/products_parts[Total Parallel]</f>
        <v>40.5</v>
      </c>
      <c r="G8" s="75">
        <f>IF(products_parts[[#This Row],[height2]]=0,products_parts[[#This Row],[length]]-products_parts[[#This Row],[lead_space_s]],products_parts[[#This Row],[height2]])</f>
        <v>61</v>
      </c>
      <c r="H8" s="85">
        <f>IF(products_parts[[#This Row],[thickness]]=0,IF(products_parts[[#This Row],[width]]=0,products_parts[[#This Row],[diameter]],products_parts[[#This Row],[width]]),products_parts[[#This Row],[thickness]])</f>
        <v>27</v>
      </c>
      <c r="I8" s="85">
        <f>IF(products_parts[[#This Row],[voltage]]=0,1000,ROUNDUP(WorkingV/products_parts[Operating Voltage (temp)],0))</f>
        <v>1</v>
      </c>
      <c r="J8" s="75">
        <f>ROUNDUP(Constant/(WorkingV-MinV)*((products_parts[esr_dc]/1000*products_parts[[#This Row],[Cap]])+Time)*products_parts[[#This Row],[Cells in Series]]/products_parts[[#This Row],[Cap]],0)</f>
        <v>8</v>
      </c>
      <c r="K8" s="78">
        <f>ROUNDUP(((Constant/WorkingV+Constant/MinV)/2)*(((products_parts[esr_dc]/1000*products_parts[Cap]))+Time)/(WorkingV-MinV)*(products_parts[[#This Row],[Cells in Series]]/products_parts[Cap]),0)</f>
        <v>1</v>
      </c>
      <c r="L8" s="79">
        <f>IF(Calculations!$J$2=1,products_parts[Cells in Parallel],products_parts[Parallel CP])</f>
        <v>8</v>
      </c>
      <c r="M8" s="75">
        <f>products_parts[[#This Row],[Cells in Series]]*products_parts[[#This Row],[Total Parallel]]</f>
        <v>8</v>
      </c>
      <c r="N8" s="76">
        <f>products_parts[[#This Row],[Price per Cell]]*products_parts[[#This Row],[Total '# of Caps]]</f>
        <v>753.6</v>
      </c>
      <c r="O8" s="77">
        <f>products_parts[[#This Row],[Calculated Volume]]*products_parts[[#This Row],[Total '# of Caps]]</f>
        <v>1.0409040000000001</v>
      </c>
      <c r="P8" s="77">
        <f>products_parts[[#This Row],[weight]]*products_parts[[#This Row],[Total '# of Caps]]</f>
        <v>0</v>
      </c>
      <c r="Q8" s="78" t="b">
        <f>AND(products_parts[[#This Row],[Height]]&gt;MIN(Calculations!$K$2,Calculations!$L$2),products_parts[[#This Row],[Height]]&lt;MAX(Calculations!$K$2,Calculations!$L$2))</f>
        <v>1</v>
      </c>
      <c r="R8" s="86">
        <f>IF(ISNUMBER(SEARCH("TPL",products_parts[[#This Row],[series]])),1,IF(products_parts[[#This Row],[series]]="PC",1,IF(ISNUMBER(SEARCH("PBL",products_parts[[#This Row],[series]])),2,2)))</f>
        <v>2</v>
      </c>
      <c r="S8" s="78" t="str">
        <f>IF(TempRange=2,IF(products_parts[[#This Row],[voltage2]]=0,"0","1"),"1")</f>
        <v>1</v>
      </c>
      <c r="T8" s="79">
        <f>IF(TempRange=1,products_parts[voltage],products_parts[voltage2])</f>
        <v>32.4</v>
      </c>
      <c r="U8" s="79" t="str">
        <f>IF(ISNUMBER(SEARCH("PBL ",products_parts[series])),"PBL",products_parts[series])</f>
        <v>PBLS</v>
      </c>
      <c r="V8" s="87" t="s">
        <v>84</v>
      </c>
      <c r="W8" s="87" t="s">
        <v>124</v>
      </c>
      <c r="X8" s="68">
        <v>32.4</v>
      </c>
      <c r="Y8" s="68">
        <v>0</v>
      </c>
      <c r="Z8" s="68">
        <v>3750000</v>
      </c>
      <c r="AA8" s="68">
        <v>324</v>
      </c>
      <c r="AB8" s="68">
        <v>1.45</v>
      </c>
      <c r="AC8" s="68">
        <v>0</v>
      </c>
      <c r="AD8" s="68">
        <v>79</v>
      </c>
      <c r="AE8" s="68">
        <v>0</v>
      </c>
      <c r="AF8" s="68">
        <v>61</v>
      </c>
      <c r="AG8" s="68">
        <v>27</v>
      </c>
      <c r="AH8" s="68">
        <v>0</v>
      </c>
      <c r="AI8" s="87" t="s">
        <v>37</v>
      </c>
      <c r="AJ8" s="87" t="s">
        <v>156</v>
      </c>
      <c r="AK8" s="68">
        <v>0</v>
      </c>
      <c r="AL8" s="68">
        <v>94.2</v>
      </c>
    </row>
    <row r="9" spans="1:76" s="37" customFormat="1" x14ac:dyDescent="0.25">
      <c r="A9" s="84">
        <f>products_parts[[#This Row],[Total Price]]+ROW()*0.0001</f>
        <v>706.51089999999999</v>
      </c>
      <c r="B9" s="75">
        <f>products_parts[[#This Row],[cap_uf]]/1000000</f>
        <v>4.16</v>
      </c>
      <c r="C9" s="93">
        <f>products_parts[[#This Row],[Cap]]*products_parts[Total Parallel]/products_parts[Cells in Series]</f>
        <v>29.12</v>
      </c>
      <c r="D9" s="75">
        <f>PI()*((products_parts[[#This Row],[diameter]]/2)^2)*products_parts[[#This Row],[length]]/1000000</f>
        <v>0</v>
      </c>
      <c r="E9" s="75">
        <f>IF(products_parts[[#This Row],[Volume (L)]]=0,products_parts[[#This Row],[Height]]*products_parts[[#This Row],[length]]*products_parts[[#This Row],[Width Total]]/1000000,products_parts[[#This Row],[Volume (L)]])</f>
        <v>0.14077799999999999</v>
      </c>
      <c r="F9" s="75">
        <f>products_parts[esr_dc]*products_parts[Cells in Series]/products_parts[Total Parallel]</f>
        <v>42.857142857142854</v>
      </c>
      <c r="G9" s="75">
        <f>IF(products_parts[[#This Row],[height2]]=0,products_parts[[#This Row],[length]]-products_parts[[#This Row],[lead_space_s]],products_parts[[#This Row],[height2]])</f>
        <v>66</v>
      </c>
      <c r="H9" s="85">
        <f>IF(products_parts[[#This Row],[thickness]]=0,IF(products_parts[[#This Row],[width]]=0,products_parts[[#This Row],[diameter]],products_parts[[#This Row],[width]]),products_parts[[#This Row],[thickness]])</f>
        <v>27</v>
      </c>
      <c r="I9" s="85">
        <f>IF(products_parts[[#This Row],[voltage]]=0,1000,ROUNDUP(WorkingV/products_parts[Operating Voltage (temp)],0))</f>
        <v>1</v>
      </c>
      <c r="J9" s="75">
        <f>ROUNDUP(Constant/(WorkingV-MinV)*((products_parts[esr_dc]/1000*products_parts[[#This Row],[Cap]])+Time)*products_parts[[#This Row],[Cells in Series]]/products_parts[[#This Row],[Cap]],0)</f>
        <v>7</v>
      </c>
      <c r="K9" s="78">
        <f>ROUNDUP(((Constant/WorkingV+Constant/MinV)/2)*(((products_parts[esr_dc]/1000*products_parts[Cap]))+Time)/(WorkingV-MinV)*(products_parts[[#This Row],[Cells in Series]]/products_parts[Cap]),0)</f>
        <v>1</v>
      </c>
      <c r="L9" s="79">
        <f>IF(Calculations!$J$2=1,products_parts[Cells in Parallel],products_parts[Parallel CP])</f>
        <v>7</v>
      </c>
      <c r="M9" s="75">
        <f>products_parts[[#This Row],[Cells in Series]]*products_parts[[#This Row],[Total Parallel]]</f>
        <v>7</v>
      </c>
      <c r="N9" s="76">
        <f>products_parts[[#This Row],[Price per Cell]]*products_parts[[#This Row],[Total '# of Caps]]</f>
        <v>706.51</v>
      </c>
      <c r="O9" s="77">
        <f>products_parts[[#This Row],[Calculated Volume]]*products_parts[[#This Row],[Total '# of Caps]]</f>
        <v>0.98544599999999993</v>
      </c>
      <c r="P9" s="77">
        <f>products_parts[[#This Row],[weight]]*products_parts[[#This Row],[Total '# of Caps]]</f>
        <v>0</v>
      </c>
      <c r="Q9" s="78" t="b">
        <f>AND(products_parts[[#This Row],[Height]]&gt;MIN(Calculations!$K$2,Calculations!$L$2),products_parts[[#This Row],[Height]]&lt;MAX(Calculations!$K$2,Calculations!$L$2))</f>
        <v>1</v>
      </c>
      <c r="R9" s="86">
        <f>IF(ISNUMBER(SEARCH("TPL",products_parts[[#This Row],[series]])),1,IF(products_parts[[#This Row],[series]]="PC",1,IF(ISNUMBER(SEARCH("PBL",products_parts[[#This Row],[series]])),2,2)))</f>
        <v>2</v>
      </c>
      <c r="S9" s="86" t="str">
        <f>IF(TempRange=2,IF(products_parts[[#This Row],[voltage2]]=0,"0","1"),"1")</f>
        <v>1</v>
      </c>
      <c r="T9" s="79">
        <f>IF(TempRange=1,products_parts[voltage],products_parts[voltage2])</f>
        <v>32.4</v>
      </c>
      <c r="U9" s="79" t="str">
        <f>IF(ISNUMBER(SEARCH("PBL ",products_parts[series])),"PBL",products_parts[series])</f>
        <v>PBLS</v>
      </c>
      <c r="V9" s="87" t="s">
        <v>84</v>
      </c>
      <c r="W9" s="87" t="s">
        <v>125</v>
      </c>
      <c r="X9" s="68">
        <v>32.4</v>
      </c>
      <c r="Y9" s="68">
        <v>0</v>
      </c>
      <c r="Z9" s="68">
        <v>4160000</v>
      </c>
      <c r="AA9" s="68">
        <v>300</v>
      </c>
      <c r="AB9" s="68">
        <v>1.48</v>
      </c>
      <c r="AC9" s="68">
        <v>0</v>
      </c>
      <c r="AD9" s="68">
        <v>79</v>
      </c>
      <c r="AE9" s="68">
        <v>0</v>
      </c>
      <c r="AF9" s="68">
        <v>66</v>
      </c>
      <c r="AG9" s="68">
        <v>27</v>
      </c>
      <c r="AH9" s="68">
        <v>0</v>
      </c>
      <c r="AI9" s="87" t="s">
        <v>37</v>
      </c>
      <c r="AJ9" s="87" t="s">
        <v>156</v>
      </c>
      <c r="AK9" s="68">
        <v>0</v>
      </c>
      <c r="AL9" s="68">
        <v>100.93</v>
      </c>
    </row>
    <row r="10" spans="1:76" s="37" customFormat="1" x14ac:dyDescent="0.25">
      <c r="A10" s="84">
        <f>products_parts[[#This Row],[Total Price]]+ROW()*0.0001</f>
        <v>684.20100000000002</v>
      </c>
      <c r="B10" s="75">
        <f>products_parts[[#This Row],[cap_uf]]/1000000</f>
        <v>2.8</v>
      </c>
      <c r="C10" s="93">
        <f>products_parts[[#This Row],[Cap]]*products_parts[Total Parallel]/products_parts[Cells in Series]</f>
        <v>30.799999999999997</v>
      </c>
      <c r="D10" s="75">
        <f>PI()*((products_parts[[#This Row],[diameter]]/2)^2)*products_parts[[#This Row],[length]]/1000000</f>
        <v>0</v>
      </c>
      <c r="E10" s="75">
        <f>IF(products_parts[[#This Row],[Volume (L)]]=0,products_parts[[#This Row],[Height]]*products_parts[[#This Row],[length]]*products_parts[[#This Row],[Width Total]]/1000000,products_parts[[#This Row],[Volume (L)]])</f>
        <v>8.1972000000000003E-2</v>
      </c>
      <c r="F10" s="75">
        <f>products_parts[esr_dc]*products_parts[Cells in Series]/products_parts[Total Parallel]</f>
        <v>40</v>
      </c>
      <c r="G10" s="75">
        <f>IF(products_parts[[#This Row],[height2]]=0,products_parts[[#This Row],[length]]-products_parts[[#This Row],[lead_space_s]],products_parts[[#This Row],[height2]])</f>
        <v>46</v>
      </c>
      <c r="H10" s="85">
        <f>IF(products_parts[[#This Row],[thickness]]=0,IF(products_parts[[#This Row],[width]]=0,products_parts[[#This Row],[diameter]],products_parts[[#This Row],[width]]),products_parts[[#This Row],[thickness]])</f>
        <v>27</v>
      </c>
      <c r="I10" s="85">
        <f>IF(products_parts[[#This Row],[voltage]]=0,1000,ROUNDUP(WorkingV/products_parts[Operating Voltage (temp)],0))</f>
        <v>1</v>
      </c>
      <c r="J10" s="75">
        <f>ROUNDUP(Constant/(WorkingV-MinV)*((products_parts[esr_dc]/1000*products_parts[[#This Row],[Cap]])+Time)*products_parts[[#This Row],[Cells in Series]]/products_parts[[#This Row],[Cap]],0)</f>
        <v>11</v>
      </c>
      <c r="K10" s="79">
        <f>ROUNDUP(((Constant/WorkingV+Constant/MinV)/2)*(((products_parts[esr_dc]/1000*products_parts[Cap]))+Time)/(WorkingV-MinV)*(products_parts[[#This Row],[Cells in Series]]/products_parts[Cap]),0)</f>
        <v>1</v>
      </c>
      <c r="L10" s="79">
        <f>IF(Calculations!$J$2=1,products_parts[Cells in Parallel],products_parts[Parallel CP])</f>
        <v>11</v>
      </c>
      <c r="M10" s="75">
        <f>products_parts[[#This Row],[Cells in Series]]*products_parts[[#This Row],[Total Parallel]]</f>
        <v>11</v>
      </c>
      <c r="N10" s="76">
        <f>products_parts[[#This Row],[Price per Cell]]*products_parts[[#This Row],[Total '# of Caps]]</f>
        <v>684.2</v>
      </c>
      <c r="O10" s="77">
        <f>products_parts[[#This Row],[Calculated Volume]]*products_parts[[#This Row],[Total '# of Caps]]</f>
        <v>0.90169200000000005</v>
      </c>
      <c r="P10" s="77">
        <f>products_parts[[#This Row],[weight]]*products_parts[[#This Row],[Total '# of Caps]]</f>
        <v>0</v>
      </c>
      <c r="Q10" s="78" t="b">
        <f>AND(products_parts[[#This Row],[Height]]&gt;MIN(Calculations!$K$2,Calculations!$L$2),products_parts[[#This Row],[Height]]&lt;MAX(Calculations!$K$2,Calculations!$L$2))</f>
        <v>1</v>
      </c>
      <c r="R10" s="86">
        <f>IF(ISNUMBER(SEARCH("TPL",products_parts[[#This Row],[series]])),1,IF(products_parts[[#This Row],[series]]="PC",1,IF(ISNUMBER(SEARCH("PBL",products_parts[[#This Row],[series]])),2,2)))</f>
        <v>2</v>
      </c>
      <c r="S10" s="78" t="str">
        <f>IF(TempRange=2,IF(products_parts[[#This Row],[voltage2]]=0,"0","1"),"1")</f>
        <v>1</v>
      </c>
      <c r="T10" s="78">
        <f>IF(TempRange=1,products_parts[voltage],products_parts[voltage2])</f>
        <v>27</v>
      </c>
      <c r="U10" s="79" t="str">
        <f>IF(ISNUMBER(SEARCH("PBL ",products_parts[series])),"PBL",products_parts[series])</f>
        <v>PBLS</v>
      </c>
      <c r="V10" s="87" t="s">
        <v>84</v>
      </c>
      <c r="W10" s="87" t="s">
        <v>113</v>
      </c>
      <c r="X10" s="68">
        <v>27</v>
      </c>
      <c r="Y10" s="68">
        <v>0</v>
      </c>
      <c r="Z10" s="68">
        <v>2800000</v>
      </c>
      <c r="AA10" s="68">
        <v>440</v>
      </c>
      <c r="AB10" s="68">
        <v>1.41</v>
      </c>
      <c r="AC10" s="68">
        <v>0</v>
      </c>
      <c r="AD10" s="68">
        <v>66</v>
      </c>
      <c r="AE10" s="68">
        <v>0</v>
      </c>
      <c r="AF10" s="68">
        <v>46</v>
      </c>
      <c r="AG10" s="68">
        <v>27</v>
      </c>
      <c r="AH10" s="68">
        <v>0</v>
      </c>
      <c r="AI10" s="87" t="s">
        <v>37</v>
      </c>
      <c r="AJ10" s="87" t="s">
        <v>156</v>
      </c>
      <c r="AK10" s="68">
        <v>0</v>
      </c>
      <c r="AL10" s="68">
        <v>62.2</v>
      </c>
    </row>
    <row r="11" spans="1:76" s="37" customFormat="1" x14ac:dyDescent="0.25">
      <c r="A11" s="84">
        <f>products_parts[[#This Row],[Total Price]]+ROW()*0.0001</f>
        <v>610.65109999999993</v>
      </c>
      <c r="B11" s="75">
        <f>products_parts[[#This Row],[cap_uf]]/1000000</f>
        <v>3.4</v>
      </c>
      <c r="C11" s="93">
        <f>products_parts[[#This Row],[Cap]]*products_parts[Total Parallel]/products_parts[Cells in Series]</f>
        <v>30.599999999999998</v>
      </c>
      <c r="D11" s="75">
        <f>PI()*((products_parts[[#This Row],[diameter]]/2)^2)*products_parts[[#This Row],[length]]/1000000</f>
        <v>0</v>
      </c>
      <c r="E11" s="75">
        <f>IF(products_parts[[#This Row],[Volume (L)]]=0,products_parts[[#This Row],[Height]]*products_parts[[#This Row],[length]]*products_parts[[#This Row],[Width Total]]/1000000,products_parts[[#This Row],[Volume (L)]])</f>
        <v>9.2663999999999996E-2</v>
      </c>
      <c r="F11" s="75">
        <f>products_parts[esr_dc]*products_parts[Cells in Series]/products_parts[Total Parallel]</f>
        <v>40</v>
      </c>
      <c r="G11" s="75">
        <f>IF(products_parts[[#This Row],[height2]]=0,products_parts[[#This Row],[length]]-products_parts[[#This Row],[lead_space_s]],products_parts[[#This Row],[height2]])</f>
        <v>52</v>
      </c>
      <c r="H11" s="85">
        <f>IF(products_parts[[#This Row],[thickness]]=0,IF(products_parts[[#This Row],[width]]=0,products_parts[[#This Row],[diameter]],products_parts[[#This Row],[width]]),products_parts[[#This Row],[thickness]])</f>
        <v>27</v>
      </c>
      <c r="I11" s="85">
        <f>IF(products_parts[[#This Row],[voltage]]=0,1000,ROUNDUP(WorkingV/products_parts[Operating Voltage (temp)],0))</f>
        <v>1</v>
      </c>
      <c r="J11" s="75">
        <f>ROUNDUP(Constant/(WorkingV-MinV)*((products_parts[esr_dc]/1000*products_parts[[#This Row],[Cap]])+Time)*products_parts[[#This Row],[Cells in Series]]/products_parts[[#This Row],[Cap]],0)</f>
        <v>9</v>
      </c>
      <c r="K11" s="79">
        <f>ROUNDUP(((Constant/WorkingV+Constant/MinV)/2)*(((products_parts[esr_dc]/1000*products_parts[Cap]))+Time)/(WorkingV-MinV)*(products_parts[[#This Row],[Cells in Series]]/products_parts[Cap]),0)</f>
        <v>1</v>
      </c>
      <c r="L11" s="79">
        <f>IF(Calculations!$J$2=1,products_parts[Cells in Parallel],products_parts[Parallel CP])</f>
        <v>9</v>
      </c>
      <c r="M11" s="75">
        <f>products_parts[[#This Row],[Cells in Series]]*products_parts[[#This Row],[Total Parallel]]</f>
        <v>9</v>
      </c>
      <c r="N11" s="76">
        <f>products_parts[[#This Row],[Price per Cell]]*products_parts[[#This Row],[Total '# of Caps]]</f>
        <v>610.65</v>
      </c>
      <c r="O11" s="77">
        <f>products_parts[[#This Row],[Calculated Volume]]*products_parts[[#This Row],[Total '# of Caps]]</f>
        <v>0.83397599999999994</v>
      </c>
      <c r="P11" s="77">
        <f>products_parts[[#This Row],[weight]]*products_parts[[#This Row],[Total '# of Caps]]</f>
        <v>0</v>
      </c>
      <c r="Q11" s="78" t="b">
        <f>AND(products_parts[[#This Row],[Height]]&gt;MIN(Calculations!$K$2,Calculations!$L$2),products_parts[[#This Row],[Height]]&lt;MAX(Calculations!$K$2,Calculations!$L$2))</f>
        <v>1</v>
      </c>
      <c r="R11" s="86">
        <f>IF(ISNUMBER(SEARCH("TPL",products_parts[[#This Row],[series]])),1,IF(products_parts[[#This Row],[series]]="PC",1,IF(ISNUMBER(SEARCH("PBL",products_parts[[#This Row],[series]])),2,2)))</f>
        <v>2</v>
      </c>
      <c r="S11" s="86" t="str">
        <f>IF(TempRange=2,IF(products_parts[[#This Row],[voltage2]]=0,"0","1"),"1")</f>
        <v>1</v>
      </c>
      <c r="T11" s="78">
        <f>IF(TempRange=1,products_parts[voltage],products_parts[voltage2])</f>
        <v>27</v>
      </c>
      <c r="U11" s="79" t="str">
        <f>IF(ISNUMBER(SEARCH("PBL ",products_parts[series])),"PBL",products_parts[series])</f>
        <v>PBLS</v>
      </c>
      <c r="V11" s="87" t="s">
        <v>84</v>
      </c>
      <c r="W11" s="87" t="s">
        <v>114</v>
      </c>
      <c r="X11" s="68">
        <v>27</v>
      </c>
      <c r="Y11" s="68">
        <v>0</v>
      </c>
      <c r="Z11" s="68">
        <v>3400000</v>
      </c>
      <c r="AA11" s="68">
        <v>360</v>
      </c>
      <c r="AB11" s="68">
        <v>1.42</v>
      </c>
      <c r="AC11" s="68">
        <v>0</v>
      </c>
      <c r="AD11" s="68">
        <v>66</v>
      </c>
      <c r="AE11" s="68">
        <v>0</v>
      </c>
      <c r="AF11" s="68">
        <v>52</v>
      </c>
      <c r="AG11" s="68">
        <v>27</v>
      </c>
      <c r="AH11" s="68">
        <v>0</v>
      </c>
      <c r="AI11" s="87" t="s">
        <v>37</v>
      </c>
      <c r="AJ11" s="87" t="s">
        <v>156</v>
      </c>
      <c r="AK11" s="68">
        <v>0</v>
      </c>
      <c r="AL11" s="68">
        <v>67.849999999999994</v>
      </c>
    </row>
    <row r="12" spans="1:76" s="37" customFormat="1" x14ac:dyDescent="0.25">
      <c r="A12" s="84">
        <f>products_parts[[#This Row],[Total Price]]+ROW()*0.0001</f>
        <v>588.08120000000008</v>
      </c>
      <c r="B12" s="75">
        <f>products_parts[[#This Row],[cap_uf]]/1000000</f>
        <v>4</v>
      </c>
      <c r="C12" s="93">
        <f>products_parts[[#This Row],[Cap]]*products_parts[Total Parallel]/products_parts[Cells in Series]</f>
        <v>32</v>
      </c>
      <c r="D12" s="75">
        <f>PI()*((products_parts[[#This Row],[diameter]]/2)^2)*products_parts[[#This Row],[length]]/1000000</f>
        <v>0</v>
      </c>
      <c r="E12" s="75">
        <f>IF(products_parts[[#This Row],[Volume (L)]]=0,products_parts[[#This Row],[Height]]*products_parts[[#This Row],[length]]*products_parts[[#This Row],[Width Total]]/1000000,products_parts[[#This Row],[Volume (L)]])</f>
        <v>9.2663999999999996E-2</v>
      </c>
      <c r="F12" s="75">
        <f>products_parts[esr_dc]*products_parts[Cells in Series]/products_parts[Total Parallel]</f>
        <v>38.75</v>
      </c>
      <c r="G12" s="75">
        <f>IF(products_parts[[#This Row],[height2]]=0,products_parts[[#This Row],[length]]-products_parts[[#This Row],[lead_space_s]],products_parts[[#This Row],[height2]])</f>
        <v>52</v>
      </c>
      <c r="H12" s="85">
        <f>IF(products_parts[[#This Row],[thickness]]=0,IF(products_parts[[#This Row],[width]]=0,products_parts[[#This Row],[diameter]],products_parts[[#This Row],[width]]),products_parts[[#This Row],[thickness]])</f>
        <v>27</v>
      </c>
      <c r="I12" s="85">
        <f>IF(products_parts[[#This Row],[voltage]]=0,1000,ROUNDUP(WorkingV/products_parts[Operating Voltage (temp)],0))</f>
        <v>1</v>
      </c>
      <c r="J12" s="75">
        <f>ROUNDUP(Constant/(WorkingV-MinV)*((products_parts[esr_dc]/1000*products_parts[[#This Row],[Cap]])+Time)*products_parts[[#This Row],[Cells in Series]]/products_parts[[#This Row],[Cap]],0)</f>
        <v>8</v>
      </c>
      <c r="K12" s="78">
        <f>ROUNDUP(((Constant/WorkingV+Constant/MinV)/2)*(((products_parts[esr_dc]/1000*products_parts[Cap]))+Time)/(WorkingV-MinV)*(products_parts[[#This Row],[Cells in Series]]/products_parts[Cap]),0)</f>
        <v>1</v>
      </c>
      <c r="L12" s="79">
        <f>IF(Calculations!$J$2=1,products_parts[Cells in Parallel],products_parts[Parallel CP])</f>
        <v>8</v>
      </c>
      <c r="M12" s="75">
        <f>products_parts[[#This Row],[Cells in Series]]*products_parts[[#This Row],[Total Parallel]]</f>
        <v>8</v>
      </c>
      <c r="N12" s="76">
        <f>products_parts[[#This Row],[Price per Cell]]*products_parts[[#This Row],[Total '# of Caps]]</f>
        <v>588.08000000000004</v>
      </c>
      <c r="O12" s="77">
        <f>products_parts[[#This Row],[Calculated Volume]]*products_parts[[#This Row],[Total '# of Caps]]</f>
        <v>0.74131199999999997</v>
      </c>
      <c r="P12" s="77">
        <f>products_parts[[#This Row],[weight]]*products_parts[[#This Row],[Total '# of Caps]]</f>
        <v>0</v>
      </c>
      <c r="Q12" s="78" t="b">
        <f>AND(products_parts[[#This Row],[Height]]&gt;MIN(Calculations!$K$2,Calculations!$L$2),products_parts[[#This Row],[Height]]&lt;MAX(Calculations!$K$2,Calculations!$L$2))</f>
        <v>1</v>
      </c>
      <c r="R12" s="86">
        <f>IF(ISNUMBER(SEARCH("TPL",products_parts[[#This Row],[series]])),1,IF(products_parts[[#This Row],[series]]="PC",1,IF(ISNUMBER(SEARCH("PBL",products_parts[[#This Row],[series]])),2,2)))</f>
        <v>2</v>
      </c>
      <c r="S12" s="78" t="str">
        <f>IF(TempRange=2,IF(products_parts[[#This Row],[voltage2]]=0,"0","1"),"1")</f>
        <v>1</v>
      </c>
      <c r="T12" s="78">
        <f>IF(TempRange=1,products_parts[voltage],products_parts[voltage2])</f>
        <v>27</v>
      </c>
      <c r="U12" s="79" t="str">
        <f>IF(ISNUMBER(SEARCH("PBL ",products_parts[series])),"PBL",products_parts[series])</f>
        <v>PBLS</v>
      </c>
      <c r="V12" s="87" t="s">
        <v>84</v>
      </c>
      <c r="W12" s="87" t="s">
        <v>115</v>
      </c>
      <c r="X12" s="68">
        <v>27</v>
      </c>
      <c r="Y12" s="68">
        <v>0</v>
      </c>
      <c r="Z12" s="68">
        <v>4000000</v>
      </c>
      <c r="AA12" s="68">
        <v>310</v>
      </c>
      <c r="AB12" s="68">
        <v>1.43</v>
      </c>
      <c r="AC12" s="68">
        <v>0</v>
      </c>
      <c r="AD12" s="68">
        <v>66</v>
      </c>
      <c r="AE12" s="68">
        <v>0</v>
      </c>
      <c r="AF12" s="68">
        <v>52</v>
      </c>
      <c r="AG12" s="68">
        <v>27</v>
      </c>
      <c r="AH12" s="68">
        <v>0</v>
      </c>
      <c r="AI12" s="87" t="s">
        <v>37</v>
      </c>
      <c r="AJ12" s="87" t="s">
        <v>156</v>
      </c>
      <c r="AK12" s="68">
        <v>0</v>
      </c>
      <c r="AL12" s="68">
        <v>73.510000000000005</v>
      </c>
    </row>
    <row r="13" spans="1:76" s="37" customFormat="1" x14ac:dyDescent="0.25">
      <c r="A13" s="84">
        <f>products_parts[[#This Row],[Total Price]]+ROW()*0.0001</f>
        <v>554.12130000000002</v>
      </c>
      <c r="B13" s="75">
        <f>products_parts[[#This Row],[cap_uf]]/1000000</f>
        <v>4.5</v>
      </c>
      <c r="C13" s="93">
        <f>products_parts[[#This Row],[Cap]]*products_parts[Total Parallel]/products_parts[Cells in Series]</f>
        <v>31.5</v>
      </c>
      <c r="D13" s="75">
        <f>PI()*((products_parts[[#This Row],[diameter]]/2)^2)*products_parts[[#This Row],[length]]/1000000</f>
        <v>0</v>
      </c>
      <c r="E13" s="75">
        <f>IF(products_parts[[#This Row],[Volume (L)]]=0,products_parts[[#This Row],[Height]]*products_parts[[#This Row],[length]]*products_parts[[#This Row],[Width Total]]/1000000,products_parts[[#This Row],[Volume (L)]])</f>
        <v>0.10870199999999999</v>
      </c>
      <c r="F13" s="75">
        <f>products_parts[esr_dc]*products_parts[Cells in Series]/products_parts[Total Parallel]</f>
        <v>40</v>
      </c>
      <c r="G13" s="75">
        <f>IF(products_parts[[#This Row],[height2]]=0,products_parts[[#This Row],[length]]-products_parts[[#This Row],[lead_space_s]],products_parts[[#This Row],[height2]])</f>
        <v>61</v>
      </c>
      <c r="H13" s="85">
        <f>IF(products_parts[[#This Row],[thickness]]=0,IF(products_parts[[#This Row],[width]]=0,products_parts[[#This Row],[diameter]],products_parts[[#This Row],[width]]),products_parts[[#This Row],[thickness]])</f>
        <v>27</v>
      </c>
      <c r="I13" s="85">
        <f>IF(products_parts[[#This Row],[voltage]]=0,1000,ROUNDUP(WorkingV/products_parts[Operating Voltage (temp)],0))</f>
        <v>1</v>
      </c>
      <c r="J13" s="75">
        <f>ROUNDUP(Constant/(WorkingV-MinV)*((products_parts[esr_dc]/1000*products_parts[[#This Row],[Cap]])+Time)*products_parts[[#This Row],[Cells in Series]]/products_parts[[#This Row],[Cap]],0)</f>
        <v>7</v>
      </c>
      <c r="K13" s="78">
        <f>ROUNDUP(((Constant/WorkingV+Constant/MinV)/2)*(((products_parts[esr_dc]/1000*products_parts[Cap]))+Time)/(WorkingV-MinV)*(products_parts[[#This Row],[Cells in Series]]/products_parts[Cap]),0)</f>
        <v>1</v>
      </c>
      <c r="L13" s="79">
        <f>IF(Calculations!$J$2=1,products_parts[Cells in Parallel],products_parts[Parallel CP])</f>
        <v>7</v>
      </c>
      <c r="M13" s="75">
        <f>products_parts[[#This Row],[Cells in Series]]*products_parts[[#This Row],[Total Parallel]]</f>
        <v>7</v>
      </c>
      <c r="N13" s="76">
        <f>products_parts[[#This Row],[Price per Cell]]*products_parts[[#This Row],[Total '# of Caps]]</f>
        <v>554.12</v>
      </c>
      <c r="O13" s="77">
        <f>products_parts[[#This Row],[Calculated Volume]]*products_parts[[#This Row],[Total '# of Caps]]</f>
        <v>0.76091399999999998</v>
      </c>
      <c r="P13" s="77">
        <f>products_parts[[#This Row],[weight]]*products_parts[[#This Row],[Total '# of Caps]]</f>
        <v>0</v>
      </c>
      <c r="Q13" s="78" t="b">
        <f>AND(products_parts[[#This Row],[Height]]&gt;MIN(Calculations!$K$2,Calculations!$L$2),products_parts[[#This Row],[Height]]&lt;MAX(Calculations!$K$2,Calculations!$L$2))</f>
        <v>1</v>
      </c>
      <c r="R13" s="86">
        <f>IF(ISNUMBER(SEARCH("TPL",products_parts[[#This Row],[series]])),1,IF(products_parts[[#This Row],[series]]="PC",1,IF(ISNUMBER(SEARCH("PBL",products_parts[[#This Row],[series]])),2,2)))</f>
        <v>2</v>
      </c>
      <c r="S13" s="78" t="str">
        <f>IF(TempRange=2,IF(products_parts[[#This Row],[voltage2]]=0,"0","1"),"1")</f>
        <v>1</v>
      </c>
      <c r="T13" s="78">
        <f>IF(TempRange=1,products_parts[voltage],products_parts[voltage2])</f>
        <v>27</v>
      </c>
      <c r="U13" s="79" t="str">
        <f>IF(ISNUMBER(SEARCH("PBL ",products_parts[series])),"PBL",products_parts[series])</f>
        <v>PBLS</v>
      </c>
      <c r="V13" s="87" t="s">
        <v>84</v>
      </c>
      <c r="W13" s="87" t="s">
        <v>116</v>
      </c>
      <c r="X13" s="68">
        <v>27</v>
      </c>
      <c r="Y13" s="68">
        <v>0</v>
      </c>
      <c r="Z13" s="68">
        <v>4500000</v>
      </c>
      <c r="AA13" s="68">
        <v>280</v>
      </c>
      <c r="AB13" s="68">
        <v>1.45</v>
      </c>
      <c r="AC13" s="68">
        <v>0</v>
      </c>
      <c r="AD13" s="68">
        <v>66</v>
      </c>
      <c r="AE13" s="68">
        <v>0</v>
      </c>
      <c r="AF13" s="68">
        <v>61</v>
      </c>
      <c r="AG13" s="68">
        <v>27</v>
      </c>
      <c r="AH13" s="68">
        <v>0</v>
      </c>
      <c r="AI13" s="87" t="s">
        <v>37</v>
      </c>
      <c r="AJ13" s="87" t="s">
        <v>156</v>
      </c>
      <c r="AK13" s="68">
        <v>0</v>
      </c>
      <c r="AL13" s="68">
        <v>79.16</v>
      </c>
    </row>
    <row r="14" spans="1:76" s="37" customFormat="1" x14ac:dyDescent="0.25">
      <c r="A14" s="84">
        <f>products_parts[[#This Row],[Total Price]]+ROW()*0.0001</f>
        <v>508.92139999999995</v>
      </c>
      <c r="B14" s="75">
        <f>products_parts[[#This Row],[cap_uf]]/1000000</f>
        <v>5</v>
      </c>
      <c r="C14" s="93">
        <f>products_parts[[#This Row],[Cap]]*products_parts[Total Parallel]/products_parts[Cells in Series]</f>
        <v>30</v>
      </c>
      <c r="D14" s="75">
        <f>PI()*((products_parts[[#This Row],[diameter]]/2)^2)*products_parts[[#This Row],[length]]/1000000</f>
        <v>0</v>
      </c>
      <c r="E14" s="75">
        <f>IF(products_parts[[#This Row],[Volume (L)]]=0,products_parts[[#This Row],[Height]]*products_parts[[#This Row],[length]]*products_parts[[#This Row],[Width Total]]/1000000,products_parts[[#This Row],[Volume (L)]])</f>
        <v>0.11761199999999999</v>
      </c>
      <c r="F14" s="75">
        <f>products_parts[esr_dc]*products_parts[Cells in Series]/products_parts[Total Parallel]</f>
        <v>43.333333333333336</v>
      </c>
      <c r="G14" s="75">
        <f>IF(products_parts[[#This Row],[height2]]=0,products_parts[[#This Row],[length]]-products_parts[[#This Row],[lead_space_s]],products_parts[[#This Row],[height2]])</f>
        <v>66</v>
      </c>
      <c r="H14" s="85">
        <f>IF(products_parts[[#This Row],[thickness]]=0,IF(products_parts[[#This Row],[width]]=0,products_parts[[#This Row],[diameter]],products_parts[[#This Row],[width]]),products_parts[[#This Row],[thickness]])</f>
        <v>27</v>
      </c>
      <c r="I14" s="85">
        <f>IF(products_parts[[#This Row],[voltage]]=0,1000,ROUNDUP(WorkingV/products_parts[Operating Voltage (temp)],0))</f>
        <v>1</v>
      </c>
      <c r="J14" s="75">
        <f>ROUNDUP(Constant/(WorkingV-MinV)*((products_parts[esr_dc]/1000*products_parts[[#This Row],[Cap]])+Time)*products_parts[[#This Row],[Cells in Series]]/products_parts[[#This Row],[Cap]],0)</f>
        <v>6</v>
      </c>
      <c r="K14" s="78">
        <f>ROUNDUP(((Constant/WorkingV+Constant/MinV)/2)*(((products_parts[esr_dc]/1000*products_parts[Cap]))+Time)/(WorkingV-MinV)*(products_parts[[#This Row],[Cells in Series]]/products_parts[Cap]),0)</f>
        <v>1</v>
      </c>
      <c r="L14" s="79">
        <f>IF(Calculations!$J$2=1,products_parts[Cells in Parallel],products_parts[Parallel CP])</f>
        <v>6</v>
      </c>
      <c r="M14" s="75">
        <f>products_parts[[#This Row],[Cells in Series]]*products_parts[[#This Row],[Total Parallel]]</f>
        <v>6</v>
      </c>
      <c r="N14" s="76">
        <f>products_parts[[#This Row],[Price per Cell]]*products_parts[[#This Row],[Total '# of Caps]]</f>
        <v>508.91999999999996</v>
      </c>
      <c r="O14" s="77">
        <f>products_parts[[#This Row],[Calculated Volume]]*products_parts[[#This Row],[Total '# of Caps]]</f>
        <v>0.70567199999999997</v>
      </c>
      <c r="P14" s="77">
        <f>products_parts[[#This Row],[weight]]*products_parts[[#This Row],[Total '# of Caps]]</f>
        <v>0</v>
      </c>
      <c r="Q14" s="78" t="b">
        <f>AND(products_parts[[#This Row],[Height]]&gt;MIN(Calculations!$K$2,Calculations!$L$2),products_parts[[#This Row],[Height]]&lt;MAX(Calculations!$K$2,Calculations!$L$2))</f>
        <v>1</v>
      </c>
      <c r="R14" s="86">
        <f>IF(ISNUMBER(SEARCH("TPL",products_parts[[#This Row],[series]])),1,IF(products_parts[[#This Row],[series]]="PC",1,IF(ISNUMBER(SEARCH("PBL",products_parts[[#This Row],[series]])),2,2)))</f>
        <v>2</v>
      </c>
      <c r="S14" s="78" t="str">
        <f>IF(TempRange=2,IF(products_parts[[#This Row],[voltage2]]=0,"0","1"),"1")</f>
        <v>1</v>
      </c>
      <c r="T14" s="78">
        <f>IF(TempRange=1,products_parts[voltage],products_parts[voltage2])</f>
        <v>27</v>
      </c>
      <c r="U14" s="79" t="str">
        <f>IF(ISNUMBER(SEARCH("PBL ",products_parts[series])),"PBL",products_parts[series])</f>
        <v>PBLS</v>
      </c>
      <c r="V14" s="87" t="s">
        <v>84</v>
      </c>
      <c r="W14" s="87" t="s">
        <v>117</v>
      </c>
      <c r="X14" s="68">
        <v>27</v>
      </c>
      <c r="Y14" s="68">
        <v>0</v>
      </c>
      <c r="Z14" s="68">
        <v>5000000</v>
      </c>
      <c r="AA14" s="68">
        <v>260</v>
      </c>
      <c r="AB14" s="68">
        <v>1.48</v>
      </c>
      <c r="AC14" s="68">
        <v>0</v>
      </c>
      <c r="AD14" s="68">
        <v>66</v>
      </c>
      <c r="AE14" s="68">
        <v>0</v>
      </c>
      <c r="AF14" s="68">
        <v>66</v>
      </c>
      <c r="AG14" s="68">
        <v>27</v>
      </c>
      <c r="AH14" s="68">
        <v>0</v>
      </c>
      <c r="AI14" s="87" t="s">
        <v>37</v>
      </c>
      <c r="AJ14" s="87" t="s">
        <v>156</v>
      </c>
      <c r="AK14" s="68">
        <v>0</v>
      </c>
      <c r="AL14" s="68">
        <v>84.82</v>
      </c>
    </row>
    <row r="15" spans="1:76" s="37" customFormat="1" x14ac:dyDescent="0.25">
      <c r="A15" s="84">
        <f>products_parts[[#This Row],[Total Price]]+ROW()*0.0001</f>
        <v>2145.0014999999999</v>
      </c>
      <c r="B15" s="75">
        <f>products_parts[[#This Row],[cap_uf]]/1000000</f>
        <v>0.5</v>
      </c>
      <c r="C15" s="93">
        <f>products_parts[[#This Row],[Cap]]*products_parts[Total Parallel]/products_parts[Cells in Series]</f>
        <v>27.5</v>
      </c>
      <c r="D15" s="75">
        <f>PI()*((products_parts[[#This Row],[diameter]]/2)^2)*products_parts[[#This Row],[length]]/1000000</f>
        <v>0</v>
      </c>
      <c r="E15" s="75">
        <f>IF(products_parts[[#This Row],[Volume (L)]]=0,products_parts[[#This Row],[Height]]*products_parts[[#This Row],[length]]*products_parts[[#This Row],[Width Total]]/1000000,products_parts[[#This Row],[Volume (L)]])</f>
        <v>3.0315999999999999E-2</v>
      </c>
      <c r="F15" s="75">
        <f>products_parts[esr_dc]*products_parts[Cells in Series]/products_parts[Total Parallel]</f>
        <v>30.181818181818183</v>
      </c>
      <c r="G15" s="75">
        <f>IF(products_parts[[#This Row],[height2]]=0,products_parts[[#This Row],[length]]-products_parts[[#This Row],[lead_space_s]],products_parts[[#This Row],[height2]])</f>
        <v>26</v>
      </c>
      <c r="H15" s="85">
        <f>IF(products_parts[[#This Row],[thickness]]=0,IF(products_parts[[#This Row],[width]]=0,products_parts[[#This Row],[diameter]],products_parts[[#This Row],[width]]),products_parts[[#This Row],[thickness]])</f>
        <v>22</v>
      </c>
      <c r="I15" s="85">
        <f>IF(products_parts[[#This Row],[voltage]]=0,1000,ROUNDUP(WorkingV/products_parts[Operating Voltage (temp)],0))</f>
        <v>1</v>
      </c>
      <c r="J15" s="75">
        <f>ROUNDUP(Constant/(WorkingV-MinV)*((products_parts[esr_dc]/1000*products_parts[[#This Row],[Cap]])+Time)*products_parts[[#This Row],[Cells in Series]]/products_parts[[#This Row],[Cap]],0)</f>
        <v>55</v>
      </c>
      <c r="K15" s="78">
        <f>ROUNDUP(((Constant/WorkingV+Constant/MinV)/2)*(((products_parts[esr_dc]/1000*products_parts[Cap]))+Time)/(WorkingV-MinV)*(products_parts[[#This Row],[Cells in Series]]/products_parts[Cap]),0)</f>
        <v>5</v>
      </c>
      <c r="L15" s="79">
        <f>IF(Calculations!$J$2=1,products_parts[Cells in Parallel],products_parts[Parallel CP])</f>
        <v>55</v>
      </c>
      <c r="M15" s="75">
        <f>products_parts[[#This Row],[Cells in Series]]*products_parts[[#This Row],[Total Parallel]]</f>
        <v>55</v>
      </c>
      <c r="N15" s="76">
        <f>products_parts[[#This Row],[Price per Cell]]*products_parts[[#This Row],[Total '# of Caps]]</f>
        <v>2145</v>
      </c>
      <c r="O15" s="77">
        <f>products_parts[[#This Row],[Calculated Volume]]*products_parts[[#This Row],[Total '# of Caps]]</f>
        <v>1.6673799999999999</v>
      </c>
      <c r="P15" s="77">
        <f>products_parts[[#This Row],[weight]]*products_parts[[#This Row],[Total '# of Caps]]</f>
        <v>0</v>
      </c>
      <c r="Q15" s="78" t="b">
        <f>AND(products_parts[[#This Row],[Height]]&gt;MIN(Calculations!$K$2,Calculations!$L$2),products_parts[[#This Row],[Height]]&lt;MAX(Calculations!$K$2,Calculations!$L$2))</f>
        <v>1</v>
      </c>
      <c r="R15" s="86">
        <f>IF(ISNUMBER(SEARCH("TPL",products_parts[[#This Row],[series]])),1,IF(products_parts[[#This Row],[series]]="PC",1,IF(ISNUMBER(SEARCH("PBL",products_parts[[#This Row],[series]])),2,2)))</f>
        <v>2</v>
      </c>
      <c r="S15" s="78" t="str">
        <f>IF(TempRange=2,IF(products_parts[[#This Row],[voltage2]]=0,"0","1"),"1")</f>
        <v>1</v>
      </c>
      <c r="T15" s="78">
        <f>IF(TempRange=1,products_parts[voltage],products_parts[voltage2])</f>
        <v>27</v>
      </c>
      <c r="U15" s="79" t="str">
        <f>IF(ISNUMBER(SEARCH("PBL ",products_parts[series])),"PBL",products_parts[series])</f>
        <v>PBLS</v>
      </c>
      <c r="V15" s="87" t="s">
        <v>84</v>
      </c>
      <c r="W15" s="87" t="s">
        <v>134</v>
      </c>
      <c r="X15" s="68">
        <v>27</v>
      </c>
      <c r="Y15" s="68">
        <v>0</v>
      </c>
      <c r="Z15" s="68">
        <v>500000</v>
      </c>
      <c r="AA15" s="68">
        <v>1660</v>
      </c>
      <c r="AB15" s="68">
        <v>0.32</v>
      </c>
      <c r="AC15" s="68">
        <v>0</v>
      </c>
      <c r="AD15" s="68">
        <v>53</v>
      </c>
      <c r="AE15" s="68">
        <v>0</v>
      </c>
      <c r="AF15" s="68">
        <v>26</v>
      </c>
      <c r="AG15" s="68">
        <v>22</v>
      </c>
      <c r="AH15" s="68">
        <v>0</v>
      </c>
      <c r="AI15" s="87" t="s">
        <v>37</v>
      </c>
      <c r="AJ15" s="87" t="s">
        <v>156</v>
      </c>
      <c r="AK15" s="68">
        <v>0</v>
      </c>
      <c r="AL15" s="68">
        <v>39</v>
      </c>
    </row>
    <row r="16" spans="1:76" s="37" customFormat="1" x14ac:dyDescent="0.25">
      <c r="A16" s="84">
        <f>products_parts[[#This Row],[Total Price]]+ROW()*0.0001</f>
        <v>1117.4816000000001</v>
      </c>
      <c r="B16" s="75">
        <f>products_parts[[#This Row],[cap_uf]]/1000000</f>
        <v>1</v>
      </c>
      <c r="C16" s="93">
        <f>products_parts[[#This Row],[Cap]]*products_parts[Total Parallel]/products_parts[Cells in Series]</f>
        <v>28</v>
      </c>
      <c r="D16" s="75">
        <f>PI()*((products_parts[[#This Row],[diameter]]/2)^2)*products_parts[[#This Row],[length]]/1000000</f>
        <v>0</v>
      </c>
      <c r="E16" s="75">
        <f>IF(products_parts[[#This Row],[Volume (L)]]=0,products_parts[[#This Row],[Height]]*products_parts[[#This Row],[length]]*products_parts[[#This Row],[Width Total]]/1000000,products_parts[[#This Row],[Volume (L)]])</f>
        <v>4.1975999999999999E-2</v>
      </c>
      <c r="F16" s="75">
        <f>products_parts[esr_dc]*products_parts[Cells in Series]/products_parts[Total Parallel]</f>
        <v>32.5</v>
      </c>
      <c r="G16" s="75">
        <f>IF(products_parts[[#This Row],[height2]]=0,products_parts[[#This Row],[length]]-products_parts[[#This Row],[lead_space_s]],products_parts[[#This Row],[height2]])</f>
        <v>36</v>
      </c>
      <c r="H16" s="85">
        <f>IF(products_parts[[#This Row],[thickness]]=0,IF(products_parts[[#This Row],[width]]=0,products_parts[[#This Row],[diameter]],products_parts[[#This Row],[width]]),products_parts[[#This Row],[thickness]])</f>
        <v>22</v>
      </c>
      <c r="I16" s="85">
        <f>IF(products_parts[[#This Row],[voltage]]=0,1000,ROUNDUP(WorkingV/products_parts[Operating Voltage (temp)],0))</f>
        <v>1</v>
      </c>
      <c r="J16" s="75">
        <f>ROUNDUP(Constant/(WorkingV-MinV)*((products_parts[esr_dc]/1000*products_parts[[#This Row],[Cap]])+Time)*products_parts[[#This Row],[Cells in Series]]/products_parts[[#This Row],[Cap]],0)</f>
        <v>28</v>
      </c>
      <c r="K16" s="79">
        <f>ROUNDUP(((Constant/WorkingV+Constant/MinV)/2)*(((products_parts[esr_dc]/1000*products_parts[Cap]))+Time)/(WorkingV-MinV)*(products_parts[[#This Row],[Cells in Series]]/products_parts[Cap]),0)</f>
        <v>3</v>
      </c>
      <c r="L16" s="79">
        <f>IF(Calculations!$J$2=1,products_parts[Cells in Parallel],products_parts[Parallel CP])</f>
        <v>28</v>
      </c>
      <c r="M16" s="75">
        <f>products_parts[[#This Row],[Cells in Series]]*products_parts[[#This Row],[Total Parallel]]</f>
        <v>28</v>
      </c>
      <c r="N16" s="76">
        <f>products_parts[[#This Row],[Price per Cell]]*products_parts[[#This Row],[Total '# of Caps]]</f>
        <v>1117.48</v>
      </c>
      <c r="O16" s="77">
        <f>products_parts[[#This Row],[Calculated Volume]]*products_parts[[#This Row],[Total '# of Caps]]</f>
        <v>1.1753279999999999</v>
      </c>
      <c r="P16" s="77">
        <f>products_parts[[#This Row],[weight]]*products_parts[[#This Row],[Total '# of Caps]]</f>
        <v>0</v>
      </c>
      <c r="Q16" s="78" t="b">
        <f>AND(products_parts[[#This Row],[Height]]&gt;MIN(Calculations!$K$2,Calculations!$L$2),products_parts[[#This Row],[Height]]&lt;MAX(Calculations!$K$2,Calculations!$L$2))</f>
        <v>1</v>
      </c>
      <c r="R16" s="86">
        <f>IF(ISNUMBER(SEARCH("TPL",products_parts[[#This Row],[series]])),1,IF(products_parts[[#This Row],[series]]="PC",1,IF(ISNUMBER(SEARCH("PBL",products_parts[[#This Row],[series]])),2,2)))</f>
        <v>2</v>
      </c>
      <c r="S16" s="78" t="str">
        <f>IF(TempRange=2,IF(products_parts[[#This Row],[voltage2]]=0,"0","1"),"1")</f>
        <v>1</v>
      </c>
      <c r="T16" s="78">
        <f>IF(TempRange=1,products_parts[voltage],products_parts[voltage2])</f>
        <v>27</v>
      </c>
      <c r="U16" s="79" t="str">
        <f>IF(ISNUMBER(SEARCH("PBL ",products_parts[series])),"PBL",products_parts[series])</f>
        <v>PBLS</v>
      </c>
      <c r="V16" s="87" t="s">
        <v>84</v>
      </c>
      <c r="W16" s="87" t="s">
        <v>135</v>
      </c>
      <c r="X16" s="68">
        <v>27</v>
      </c>
      <c r="Y16" s="68">
        <v>0</v>
      </c>
      <c r="Z16" s="68">
        <v>1000000</v>
      </c>
      <c r="AA16" s="68">
        <v>910</v>
      </c>
      <c r="AB16" s="68">
        <v>0.33</v>
      </c>
      <c r="AC16" s="68">
        <v>0</v>
      </c>
      <c r="AD16" s="68">
        <v>53</v>
      </c>
      <c r="AE16" s="68">
        <v>0</v>
      </c>
      <c r="AF16" s="68">
        <v>36</v>
      </c>
      <c r="AG16" s="68">
        <v>22</v>
      </c>
      <c r="AH16" s="68">
        <v>0</v>
      </c>
      <c r="AI16" s="87" t="s">
        <v>37</v>
      </c>
      <c r="AJ16" s="87" t="s">
        <v>156</v>
      </c>
      <c r="AK16" s="68">
        <v>0</v>
      </c>
      <c r="AL16" s="68">
        <v>39.909999999999997</v>
      </c>
    </row>
    <row r="17" spans="1:38" s="37" customFormat="1" x14ac:dyDescent="0.25">
      <c r="A17" s="84">
        <f>products_parts[[#This Row],[Total Price]]+ROW()*0.0001</f>
        <v>735.02170000000001</v>
      </c>
      <c r="B17" s="75">
        <f>products_parts[[#This Row],[cap_uf]]/1000000</f>
        <v>2.2000000000000002</v>
      </c>
      <c r="C17" s="93">
        <f>products_parts[[#This Row],[Cap]]*products_parts[Total Parallel]/products_parts[Cells in Series]</f>
        <v>28.6</v>
      </c>
      <c r="D17" s="75">
        <f>PI()*((products_parts[[#This Row],[diameter]]/2)^2)*products_parts[[#This Row],[length]]/1000000</f>
        <v>0</v>
      </c>
      <c r="E17" s="75">
        <f>IF(products_parts[[#This Row],[Volume (L)]]=0,products_parts[[#This Row],[Height]]*products_parts[[#This Row],[length]]*products_parts[[#This Row],[Width Total]]/1000000,products_parts[[#This Row],[Volume (L)]])</f>
        <v>7.4843999999999994E-2</v>
      </c>
      <c r="F17" s="75">
        <f>products_parts[esr_dc]*products_parts[Cells in Series]/products_parts[Total Parallel]</f>
        <v>39.230769230769234</v>
      </c>
      <c r="G17" s="75">
        <f>IF(products_parts[[#This Row],[height2]]=0,products_parts[[#This Row],[length]]-products_parts[[#This Row],[lead_space_s]],products_parts[[#This Row],[height2]])</f>
        <v>42</v>
      </c>
      <c r="H17" s="85">
        <f>IF(products_parts[[#This Row],[thickness]]=0,IF(products_parts[[#This Row],[width]]=0,products_parts[[#This Row],[diameter]],products_parts[[#This Row],[width]]),products_parts[[#This Row],[thickness]])</f>
        <v>27</v>
      </c>
      <c r="I17" s="85">
        <f>IF(products_parts[[#This Row],[voltage]]=0,1000,ROUNDUP(WorkingV/products_parts[Operating Voltage (temp)],0))</f>
        <v>1</v>
      </c>
      <c r="J17" s="75">
        <f>ROUNDUP(Constant/(WorkingV-MinV)*((products_parts[esr_dc]/1000*products_parts[[#This Row],[Cap]])+Time)*products_parts[[#This Row],[Cells in Series]]/products_parts[[#This Row],[Cap]],0)</f>
        <v>13</v>
      </c>
      <c r="K17" s="79">
        <f>ROUNDUP(((Constant/WorkingV+Constant/MinV)/2)*(((products_parts[esr_dc]/1000*products_parts[Cap]))+Time)/(WorkingV-MinV)*(products_parts[[#This Row],[Cells in Series]]/products_parts[Cap]),0)</f>
        <v>2</v>
      </c>
      <c r="L17" s="79">
        <f>IF(Calculations!$J$2=1,products_parts[Cells in Parallel],products_parts[Parallel CP])</f>
        <v>13</v>
      </c>
      <c r="M17" s="75">
        <f>products_parts[[#This Row],[Cells in Series]]*products_parts[[#This Row],[Total Parallel]]</f>
        <v>13</v>
      </c>
      <c r="N17" s="76">
        <f>products_parts[[#This Row],[Price per Cell]]*products_parts[[#This Row],[Total '# of Caps]]</f>
        <v>735.02</v>
      </c>
      <c r="O17" s="77">
        <f>products_parts[[#This Row],[Calculated Volume]]*products_parts[[#This Row],[Total '# of Caps]]</f>
        <v>0.97297199999999995</v>
      </c>
      <c r="P17" s="77">
        <f>products_parts[[#This Row],[weight]]*products_parts[[#This Row],[Total '# of Caps]]</f>
        <v>0</v>
      </c>
      <c r="Q17" s="78" t="b">
        <f>AND(products_parts[[#This Row],[Height]]&gt;MIN(Calculations!$K$2,Calculations!$L$2),products_parts[[#This Row],[Height]]&lt;MAX(Calculations!$K$2,Calculations!$L$2))</f>
        <v>1</v>
      </c>
      <c r="R17" s="86">
        <f>IF(ISNUMBER(SEARCH("TPL",products_parts[[#This Row],[series]])),1,IF(products_parts[[#This Row],[series]]="PC",1,IF(ISNUMBER(SEARCH("PBL",products_parts[[#This Row],[series]])),2,2)))</f>
        <v>2</v>
      </c>
      <c r="S17" s="78" t="str">
        <f>IF(TempRange=2,IF(products_parts[[#This Row],[voltage2]]=0,"0","1"),"1")</f>
        <v>1</v>
      </c>
      <c r="T17" s="78">
        <f>IF(TempRange=1,products_parts[voltage],products_parts[voltage2])</f>
        <v>27</v>
      </c>
      <c r="U17" s="79" t="str">
        <f>IF(ISNUMBER(SEARCH("PBL ",products_parts[series])),"PBL",products_parts[series])</f>
        <v>PBLS</v>
      </c>
      <c r="V17" s="87" t="s">
        <v>84</v>
      </c>
      <c r="W17" s="87" t="s">
        <v>136</v>
      </c>
      <c r="X17" s="68">
        <v>27</v>
      </c>
      <c r="Y17" s="68">
        <v>0</v>
      </c>
      <c r="Z17" s="68">
        <v>2200000</v>
      </c>
      <c r="AA17" s="68">
        <v>510</v>
      </c>
      <c r="AB17" s="68">
        <v>1.41</v>
      </c>
      <c r="AC17" s="68">
        <v>0</v>
      </c>
      <c r="AD17" s="68">
        <v>66</v>
      </c>
      <c r="AE17" s="68">
        <v>0</v>
      </c>
      <c r="AF17" s="68">
        <v>42</v>
      </c>
      <c r="AG17" s="68">
        <v>27</v>
      </c>
      <c r="AH17" s="68">
        <v>0</v>
      </c>
      <c r="AI17" s="87" t="s">
        <v>37</v>
      </c>
      <c r="AJ17" s="87" t="s">
        <v>156</v>
      </c>
      <c r="AK17" s="68">
        <v>0</v>
      </c>
      <c r="AL17" s="68">
        <v>56.54</v>
      </c>
    </row>
    <row r="18" spans="1:38" s="37" customFormat="1" x14ac:dyDescent="0.25">
      <c r="A18" s="84">
        <f>products_parts[[#This Row],[Total Price]]+ROW()*0.0001</f>
        <v>1452.0018</v>
      </c>
      <c r="B18" s="75">
        <f>products_parts[[#This Row],[cap_uf]]/1000000</f>
        <v>0.62</v>
      </c>
      <c r="C18" s="93">
        <f>products_parts[[#This Row],[Cap]]*products_parts[Total Parallel]/products_parts[Cells in Series]</f>
        <v>27.28</v>
      </c>
      <c r="D18" s="75">
        <f>PI()*((products_parts[[#This Row],[diameter]]/2)^2)*products_parts[[#This Row],[length]]/1000000</f>
        <v>0</v>
      </c>
      <c r="E18" s="75">
        <f>IF(products_parts[[#This Row],[Volume (L)]]=0,products_parts[[#This Row],[Height]]*products_parts[[#This Row],[length]]*products_parts[[#This Row],[Width Total]]/1000000,products_parts[[#This Row],[Volume (L)]])</f>
        <v>2.4596E-2</v>
      </c>
      <c r="F18" s="75">
        <f>products_parts[esr_dc]*products_parts[Cells in Series]/products_parts[Total Parallel]</f>
        <v>30.454545454545453</v>
      </c>
      <c r="G18" s="75">
        <f>IF(products_parts[[#This Row],[height2]]=0,products_parts[[#This Row],[length]]-products_parts[[#This Row],[lead_space_s]],products_parts[[#This Row],[height2]])</f>
        <v>26</v>
      </c>
      <c r="H18" s="85">
        <f>IF(products_parts[[#This Row],[thickness]]=0,IF(products_parts[[#This Row],[width]]=0,products_parts[[#This Row],[diameter]],products_parts[[#This Row],[width]]),products_parts[[#This Row],[thickness]])</f>
        <v>22</v>
      </c>
      <c r="I18" s="85">
        <f>IF(products_parts[[#This Row],[voltage]]=0,1000,ROUNDUP(WorkingV/products_parts[Operating Voltage (temp)],0))</f>
        <v>1</v>
      </c>
      <c r="J18" s="75">
        <f>ROUNDUP(Constant/(WorkingV-MinV)*((products_parts[esr_dc]/1000*products_parts[[#This Row],[Cap]])+Time)*products_parts[[#This Row],[Cells in Series]]/products_parts[[#This Row],[Cap]],0)</f>
        <v>44</v>
      </c>
      <c r="K18" s="78">
        <f>ROUNDUP(((Constant/WorkingV+Constant/MinV)/2)*(((products_parts[esr_dc]/1000*products_parts[Cap]))+Time)/(WorkingV-MinV)*(products_parts[[#This Row],[Cells in Series]]/products_parts[Cap]),0)</f>
        <v>5</v>
      </c>
      <c r="L18" s="79">
        <f>IF(Calculations!$J$2=1,products_parts[Cells in Parallel],products_parts[Parallel CP])</f>
        <v>44</v>
      </c>
      <c r="M18" s="75">
        <f>products_parts[[#This Row],[Cells in Series]]*products_parts[[#This Row],[Total Parallel]]</f>
        <v>44</v>
      </c>
      <c r="N18" s="76">
        <f>products_parts[[#This Row],[Price per Cell]]*products_parts[[#This Row],[Total '# of Caps]]</f>
        <v>1452</v>
      </c>
      <c r="O18" s="77">
        <f>products_parts[[#This Row],[Calculated Volume]]*products_parts[[#This Row],[Total '# of Caps]]</f>
        <v>1.0822240000000001</v>
      </c>
      <c r="P18" s="77">
        <f>products_parts[[#This Row],[weight]]*products_parts[[#This Row],[Total '# of Caps]]</f>
        <v>0</v>
      </c>
      <c r="Q18" s="78" t="b">
        <f>AND(products_parts[[#This Row],[Height]]&gt;MIN(Calculations!$K$2,Calculations!$L$2),products_parts[[#This Row],[Height]]&lt;MAX(Calculations!$K$2,Calculations!$L$2))</f>
        <v>1</v>
      </c>
      <c r="R18" s="86">
        <f>IF(ISNUMBER(SEARCH("TPL",products_parts[[#This Row],[series]])),1,IF(products_parts[[#This Row],[series]]="PC",1,IF(ISNUMBER(SEARCH("PBL",products_parts[[#This Row],[series]])),2,2)))</f>
        <v>2</v>
      </c>
      <c r="S18" s="86" t="str">
        <f>IF(TempRange=2,IF(products_parts[[#This Row],[voltage2]]=0,"0","1"),"1")</f>
        <v>1</v>
      </c>
      <c r="T18" s="78">
        <f>IF(TempRange=1,products_parts[voltage],products_parts[voltage2])</f>
        <v>21.6</v>
      </c>
      <c r="U18" s="79" t="str">
        <f>IF(ISNUMBER(SEARCH("PBL ",products_parts[series])),"PBL",products_parts[series])</f>
        <v>PBLS</v>
      </c>
      <c r="V18" s="87" t="s">
        <v>84</v>
      </c>
      <c r="W18" s="87" t="s">
        <v>126</v>
      </c>
      <c r="X18" s="68">
        <v>21.6</v>
      </c>
      <c r="Y18" s="68">
        <v>0</v>
      </c>
      <c r="Z18" s="68">
        <v>620000</v>
      </c>
      <c r="AA18" s="68">
        <v>1340</v>
      </c>
      <c r="AB18" s="68">
        <v>0.32</v>
      </c>
      <c r="AC18" s="68">
        <v>0</v>
      </c>
      <c r="AD18" s="68">
        <v>43</v>
      </c>
      <c r="AE18" s="68">
        <v>0</v>
      </c>
      <c r="AF18" s="68">
        <v>26</v>
      </c>
      <c r="AG18" s="68">
        <v>22</v>
      </c>
      <c r="AH18" s="68">
        <v>0</v>
      </c>
      <c r="AI18" s="87" t="s">
        <v>37</v>
      </c>
      <c r="AJ18" s="87" t="s">
        <v>156</v>
      </c>
      <c r="AK18" s="68">
        <v>0</v>
      </c>
      <c r="AL18" s="68">
        <v>33</v>
      </c>
    </row>
    <row r="19" spans="1:38" s="37" customFormat="1" x14ac:dyDescent="0.25">
      <c r="A19" s="84">
        <f>products_parts[[#This Row],[Total Price]]+ROW()*0.0001</f>
        <v>737.88189999999997</v>
      </c>
      <c r="B19" s="75">
        <f>products_parts[[#This Row],[cap_uf]]/1000000</f>
        <v>1.25</v>
      </c>
      <c r="C19" s="93">
        <f>products_parts[[#This Row],[Cap]]*products_parts[Total Parallel]/products_parts[Cells in Series]</f>
        <v>27.5</v>
      </c>
      <c r="D19" s="75">
        <f>PI()*((products_parts[[#This Row],[diameter]]/2)^2)*products_parts[[#This Row],[length]]/1000000</f>
        <v>0</v>
      </c>
      <c r="E19" s="75">
        <f>IF(products_parts[[#This Row],[Volume (L)]]=0,products_parts[[#This Row],[Height]]*products_parts[[#This Row],[length]]*products_parts[[#This Row],[Width Total]]/1000000,products_parts[[#This Row],[Volume (L)]])</f>
        <v>3.4056000000000003E-2</v>
      </c>
      <c r="F19" s="75">
        <f>products_parts[esr_dc]*products_parts[Cells in Series]/products_parts[Total Parallel]</f>
        <v>33.636363636363633</v>
      </c>
      <c r="G19" s="75">
        <f>IF(products_parts[[#This Row],[height2]]=0,products_parts[[#This Row],[length]]-products_parts[[#This Row],[lead_space_s]],products_parts[[#This Row],[height2]])</f>
        <v>36</v>
      </c>
      <c r="H19" s="85">
        <f>IF(products_parts[[#This Row],[thickness]]=0,IF(products_parts[[#This Row],[width]]=0,products_parts[[#This Row],[diameter]],products_parts[[#This Row],[width]]),products_parts[[#This Row],[thickness]])</f>
        <v>22</v>
      </c>
      <c r="I19" s="85">
        <f>IF(products_parts[[#This Row],[voltage]]=0,1000,ROUNDUP(WorkingV/products_parts[Operating Voltage (temp)],0))</f>
        <v>1</v>
      </c>
      <c r="J19" s="75">
        <f>ROUNDUP(Constant/(WorkingV-MinV)*((products_parts[esr_dc]/1000*products_parts[[#This Row],[Cap]])+Time)*products_parts[[#This Row],[Cells in Series]]/products_parts[[#This Row],[Cap]],0)</f>
        <v>22</v>
      </c>
      <c r="K19" s="79">
        <f>ROUNDUP(((Constant/WorkingV+Constant/MinV)/2)*(((products_parts[esr_dc]/1000*products_parts[Cap]))+Time)/(WorkingV-MinV)*(products_parts[[#This Row],[Cells in Series]]/products_parts[Cap]),0)</f>
        <v>3</v>
      </c>
      <c r="L19" s="79">
        <f>IF(Calculations!$J$2=1,products_parts[Cells in Parallel],products_parts[Parallel CP])</f>
        <v>22</v>
      </c>
      <c r="M19" s="75">
        <f>products_parts[[#This Row],[Cells in Series]]*products_parts[[#This Row],[Total Parallel]]</f>
        <v>22</v>
      </c>
      <c r="N19" s="76">
        <f>products_parts[[#This Row],[Price per Cell]]*products_parts[[#This Row],[Total '# of Caps]]</f>
        <v>737.88</v>
      </c>
      <c r="O19" s="77">
        <f>products_parts[[#This Row],[Calculated Volume]]*products_parts[[#This Row],[Total '# of Caps]]</f>
        <v>0.74923200000000012</v>
      </c>
      <c r="P19" s="77">
        <f>products_parts[[#This Row],[weight]]*products_parts[[#This Row],[Total '# of Caps]]</f>
        <v>0</v>
      </c>
      <c r="Q19" s="78" t="b">
        <f>AND(products_parts[[#This Row],[Height]]&gt;MIN(Calculations!$K$2,Calculations!$L$2),products_parts[[#This Row],[Height]]&lt;MAX(Calculations!$K$2,Calculations!$L$2))</f>
        <v>1</v>
      </c>
      <c r="R19" s="86">
        <f>IF(ISNUMBER(SEARCH("TPL",products_parts[[#This Row],[series]])),1,IF(products_parts[[#This Row],[series]]="PC",1,IF(ISNUMBER(SEARCH("PBL",products_parts[[#This Row],[series]])),2,2)))</f>
        <v>2</v>
      </c>
      <c r="S19" s="78" t="str">
        <f>IF(TempRange=2,IF(products_parts[[#This Row],[voltage2]]=0,"0","1"),"1")</f>
        <v>1</v>
      </c>
      <c r="T19" s="78">
        <f>IF(TempRange=1,products_parts[voltage],products_parts[voltage2])</f>
        <v>21.6</v>
      </c>
      <c r="U19" s="79" t="str">
        <f>IF(ISNUMBER(SEARCH("PBL ",products_parts[series])),"PBL",products_parts[series])</f>
        <v>PBLS</v>
      </c>
      <c r="V19" s="87" t="s">
        <v>84</v>
      </c>
      <c r="W19" s="87" t="s">
        <v>127</v>
      </c>
      <c r="X19" s="68">
        <v>21.6</v>
      </c>
      <c r="Y19" s="68">
        <v>0</v>
      </c>
      <c r="Z19" s="68">
        <v>1250000</v>
      </c>
      <c r="AA19" s="68">
        <v>740</v>
      </c>
      <c r="AB19" s="68">
        <v>0.33</v>
      </c>
      <c r="AC19" s="68">
        <v>0</v>
      </c>
      <c r="AD19" s="68">
        <v>43</v>
      </c>
      <c r="AE19" s="68">
        <v>0</v>
      </c>
      <c r="AF19" s="68">
        <v>36</v>
      </c>
      <c r="AG19" s="68">
        <v>22</v>
      </c>
      <c r="AH19" s="68">
        <v>0</v>
      </c>
      <c r="AI19" s="87" t="s">
        <v>37</v>
      </c>
      <c r="AJ19" s="87" t="s">
        <v>156</v>
      </c>
      <c r="AK19" s="68">
        <v>0</v>
      </c>
      <c r="AL19" s="68">
        <v>33.54</v>
      </c>
    </row>
    <row r="20" spans="1:38" s="37" customFormat="1" x14ac:dyDescent="0.25">
      <c r="A20" s="84">
        <f>products_parts[[#This Row],[Total Price]]+ROW()*0.0001</f>
        <v>522.72199999999998</v>
      </c>
      <c r="B20" s="75">
        <f>products_parts[[#This Row],[cap_uf]]/1000000</f>
        <v>2.75</v>
      </c>
      <c r="C20" s="93">
        <f>products_parts[[#This Row],[Cap]]*products_parts[Total Parallel]/products_parts[Cells in Series]</f>
        <v>30.25</v>
      </c>
      <c r="D20" s="75">
        <f>PI()*((products_parts[[#This Row],[diameter]]/2)^2)*products_parts[[#This Row],[length]]/1000000</f>
        <v>0</v>
      </c>
      <c r="E20" s="75">
        <f>IF(products_parts[[#This Row],[Volume (L)]]=0,products_parts[[#This Row],[Height]]*products_parts[[#This Row],[length]]*products_parts[[#This Row],[Width Total]]/1000000,products_parts[[#This Row],[Volume (L)]])</f>
        <v>6.0102000000000003E-2</v>
      </c>
      <c r="F20" s="75">
        <f>products_parts[esr_dc]*products_parts[Cells in Series]/products_parts[Total Parallel]</f>
        <v>38.18181818181818</v>
      </c>
      <c r="G20" s="75">
        <f>IF(products_parts[[#This Row],[height2]]=0,products_parts[[#This Row],[length]]-products_parts[[#This Row],[lead_space_s]],products_parts[[#This Row],[height2]])</f>
        <v>42</v>
      </c>
      <c r="H20" s="85">
        <f>IF(products_parts[[#This Row],[thickness]]=0,IF(products_parts[[#This Row],[width]]=0,products_parts[[#This Row],[diameter]],products_parts[[#This Row],[width]]),products_parts[[#This Row],[thickness]])</f>
        <v>27</v>
      </c>
      <c r="I20" s="85">
        <f>IF(products_parts[[#This Row],[voltage]]=0,1000,ROUNDUP(WorkingV/products_parts[Operating Voltage (temp)],0))</f>
        <v>1</v>
      </c>
      <c r="J20" s="75">
        <f>ROUNDUP(Constant/(WorkingV-MinV)*((products_parts[esr_dc]/1000*products_parts[[#This Row],[Cap]])+Time)*products_parts[[#This Row],[Cells in Series]]/products_parts[[#This Row],[Cap]],0)</f>
        <v>11</v>
      </c>
      <c r="K20" s="78">
        <f>ROUNDUP(((Constant/WorkingV+Constant/MinV)/2)*(((products_parts[esr_dc]/1000*products_parts[Cap]))+Time)/(WorkingV-MinV)*(products_parts[[#This Row],[Cells in Series]]/products_parts[Cap]),0)</f>
        <v>1</v>
      </c>
      <c r="L20" s="79">
        <f>IF(Calculations!$J$2=1,products_parts[Cells in Parallel],products_parts[Parallel CP])</f>
        <v>11</v>
      </c>
      <c r="M20" s="75">
        <f>products_parts[[#This Row],[Cells in Series]]*products_parts[[#This Row],[Total Parallel]]</f>
        <v>11</v>
      </c>
      <c r="N20" s="76">
        <f>products_parts[[#This Row],[Price per Cell]]*products_parts[[#This Row],[Total '# of Caps]]</f>
        <v>522.72</v>
      </c>
      <c r="O20" s="77">
        <f>products_parts[[#This Row],[Calculated Volume]]*products_parts[[#This Row],[Total '# of Caps]]</f>
        <v>0.66112199999999999</v>
      </c>
      <c r="P20" s="77">
        <f>products_parts[[#This Row],[weight]]*products_parts[[#This Row],[Total '# of Caps]]</f>
        <v>0</v>
      </c>
      <c r="Q20" s="78" t="b">
        <f>AND(products_parts[[#This Row],[Height]]&gt;MIN(Calculations!$K$2,Calculations!$L$2),products_parts[[#This Row],[Height]]&lt;MAX(Calculations!$K$2,Calculations!$L$2))</f>
        <v>1</v>
      </c>
      <c r="R20" s="86">
        <f>IF(ISNUMBER(SEARCH("TPL",products_parts[[#This Row],[series]])),1,IF(products_parts[[#This Row],[series]]="PC",1,IF(ISNUMBER(SEARCH("PBL",products_parts[[#This Row],[series]])),2,2)))</f>
        <v>2</v>
      </c>
      <c r="S20" s="78" t="str">
        <f>IF(TempRange=2,IF(products_parts[[#This Row],[voltage2]]=0,"0","1"),"1")</f>
        <v>1</v>
      </c>
      <c r="T20" s="78">
        <f>IF(TempRange=1,products_parts[voltage],products_parts[voltage2])</f>
        <v>21.6</v>
      </c>
      <c r="U20" s="79" t="str">
        <f>IF(ISNUMBER(SEARCH("PBL ",products_parts[series])),"PBL",products_parts[series])</f>
        <v>PBLS</v>
      </c>
      <c r="V20" s="87" t="s">
        <v>84</v>
      </c>
      <c r="W20" s="87" t="s">
        <v>128</v>
      </c>
      <c r="X20" s="68">
        <v>21.6</v>
      </c>
      <c r="Y20" s="68">
        <v>0</v>
      </c>
      <c r="Z20" s="68">
        <v>2750000</v>
      </c>
      <c r="AA20" s="68">
        <v>420</v>
      </c>
      <c r="AB20" s="68">
        <v>1.41</v>
      </c>
      <c r="AC20" s="68">
        <v>0</v>
      </c>
      <c r="AD20" s="68">
        <v>53</v>
      </c>
      <c r="AE20" s="68">
        <v>0</v>
      </c>
      <c r="AF20" s="68">
        <v>42</v>
      </c>
      <c r="AG20" s="68">
        <v>27</v>
      </c>
      <c r="AH20" s="68">
        <v>0</v>
      </c>
      <c r="AI20" s="87" t="s">
        <v>37</v>
      </c>
      <c r="AJ20" s="87" t="s">
        <v>156</v>
      </c>
      <c r="AK20" s="68">
        <v>0</v>
      </c>
      <c r="AL20" s="68">
        <v>47.52</v>
      </c>
    </row>
    <row r="21" spans="1:38" s="37" customFormat="1" x14ac:dyDescent="0.25">
      <c r="A21" s="84">
        <f>products_parts[[#This Row],[Total Price]]+ROW()*0.0001</f>
        <v>470.43209999999999</v>
      </c>
      <c r="B21" s="75">
        <f>products_parts[[#This Row],[cap_uf]]/1000000</f>
        <v>3.5</v>
      </c>
      <c r="C21" s="93">
        <f>products_parts[[#This Row],[Cap]]*products_parts[Total Parallel]/products_parts[Cells in Series]</f>
        <v>31.5</v>
      </c>
      <c r="D21" s="75">
        <f>PI()*((products_parts[[#This Row],[diameter]]/2)^2)*products_parts[[#This Row],[length]]/1000000</f>
        <v>0</v>
      </c>
      <c r="E21" s="75">
        <f>IF(products_parts[[#This Row],[Volume (L)]]=0,products_parts[[#This Row],[Height]]*products_parts[[#This Row],[length]]*products_parts[[#This Row],[Width Total]]/1000000,products_parts[[#This Row],[Volume (L)]])</f>
        <v>6.5825999999999996E-2</v>
      </c>
      <c r="F21" s="75">
        <f>products_parts[esr_dc]*products_parts[Cells in Series]/products_parts[Total Parallel]</f>
        <v>40.444444444444443</v>
      </c>
      <c r="G21" s="75">
        <f>IF(products_parts[[#This Row],[height2]]=0,products_parts[[#This Row],[length]]-products_parts[[#This Row],[lead_space_s]],products_parts[[#This Row],[height2]])</f>
        <v>46</v>
      </c>
      <c r="H21" s="85">
        <f>IF(products_parts[[#This Row],[thickness]]=0,IF(products_parts[[#This Row],[width]]=0,products_parts[[#This Row],[diameter]],products_parts[[#This Row],[width]]),products_parts[[#This Row],[thickness]])</f>
        <v>27</v>
      </c>
      <c r="I21" s="85">
        <f>IF(products_parts[[#This Row],[voltage]]=0,1000,ROUNDUP(WorkingV/products_parts[Operating Voltage (temp)],0))</f>
        <v>1</v>
      </c>
      <c r="J21" s="75">
        <f>ROUNDUP(Constant/(WorkingV-MinV)*((products_parts[esr_dc]/1000*products_parts[[#This Row],[Cap]])+Time)*products_parts[[#This Row],[Cells in Series]]/products_parts[[#This Row],[Cap]],0)</f>
        <v>9</v>
      </c>
      <c r="K21" s="78">
        <f>ROUNDUP(((Constant/WorkingV+Constant/MinV)/2)*(((products_parts[esr_dc]/1000*products_parts[Cap]))+Time)/(WorkingV-MinV)*(products_parts[[#This Row],[Cells in Series]]/products_parts[Cap]),0)</f>
        <v>1</v>
      </c>
      <c r="L21" s="79">
        <f>IF(Calculations!$J$2=1,products_parts[Cells in Parallel],products_parts[Parallel CP])</f>
        <v>9</v>
      </c>
      <c r="M21" s="75">
        <f>products_parts[[#This Row],[Cells in Series]]*products_parts[[#This Row],[Total Parallel]]</f>
        <v>9</v>
      </c>
      <c r="N21" s="76">
        <f>products_parts[[#This Row],[Price per Cell]]*products_parts[[#This Row],[Total '# of Caps]]</f>
        <v>470.43</v>
      </c>
      <c r="O21" s="77">
        <f>products_parts[[#This Row],[Calculated Volume]]*products_parts[[#This Row],[Total '# of Caps]]</f>
        <v>0.59243399999999991</v>
      </c>
      <c r="P21" s="77">
        <f>products_parts[[#This Row],[weight]]*products_parts[[#This Row],[Total '# of Caps]]</f>
        <v>0</v>
      </c>
      <c r="Q21" s="78" t="b">
        <f>AND(products_parts[[#This Row],[Height]]&gt;MIN(Calculations!$K$2,Calculations!$L$2),products_parts[[#This Row],[Height]]&lt;MAX(Calculations!$K$2,Calculations!$L$2))</f>
        <v>1</v>
      </c>
      <c r="R21" s="86">
        <f>IF(ISNUMBER(SEARCH("TPL",products_parts[[#This Row],[series]])),1,IF(products_parts[[#This Row],[series]]="PC",1,IF(ISNUMBER(SEARCH("PBL",products_parts[[#This Row],[series]])),2,2)))</f>
        <v>2</v>
      </c>
      <c r="S21" s="78" t="str">
        <f>IF(TempRange=2,IF(products_parts[[#This Row],[voltage2]]=0,"0","1"),"1")</f>
        <v>1</v>
      </c>
      <c r="T21" s="78">
        <f>IF(TempRange=1,products_parts[voltage],products_parts[voltage2])</f>
        <v>21.6</v>
      </c>
      <c r="U21" s="79" t="str">
        <f>IF(ISNUMBER(SEARCH("PBL ",products_parts[series])),"PBL",products_parts[series])</f>
        <v>PBLS</v>
      </c>
      <c r="V21" s="87" t="s">
        <v>84</v>
      </c>
      <c r="W21" s="87" t="s">
        <v>129</v>
      </c>
      <c r="X21" s="68">
        <v>21.6</v>
      </c>
      <c r="Y21" s="68">
        <v>0</v>
      </c>
      <c r="Z21" s="68">
        <v>3500000</v>
      </c>
      <c r="AA21" s="68">
        <v>364</v>
      </c>
      <c r="AB21" s="68">
        <v>1.41</v>
      </c>
      <c r="AC21" s="68">
        <v>0</v>
      </c>
      <c r="AD21" s="68">
        <v>53</v>
      </c>
      <c r="AE21" s="68">
        <v>0</v>
      </c>
      <c r="AF21" s="68">
        <v>46</v>
      </c>
      <c r="AG21" s="68">
        <v>27</v>
      </c>
      <c r="AH21" s="68">
        <v>0</v>
      </c>
      <c r="AI21" s="87" t="s">
        <v>37</v>
      </c>
      <c r="AJ21" s="87" t="s">
        <v>156</v>
      </c>
      <c r="AK21" s="68">
        <v>0</v>
      </c>
      <c r="AL21" s="68">
        <v>52.27</v>
      </c>
    </row>
    <row r="22" spans="1:38" s="37" customFormat="1" x14ac:dyDescent="0.25">
      <c r="A22" s="84">
        <f>products_parts[[#This Row],[Total Price]]+ROW()*0.0001</f>
        <v>399.14220000000006</v>
      </c>
      <c r="B22" s="75">
        <f>products_parts[[#This Row],[cap_uf]]/1000000</f>
        <v>4.25</v>
      </c>
      <c r="C22" s="93">
        <f>products_parts[[#This Row],[Cap]]*products_parts[Total Parallel]/products_parts[Cells in Series]</f>
        <v>29.75</v>
      </c>
      <c r="D22" s="75">
        <f>PI()*((products_parts[[#This Row],[diameter]]/2)^2)*products_parts[[#This Row],[length]]/1000000</f>
        <v>0</v>
      </c>
      <c r="E22" s="75">
        <f>IF(products_parts[[#This Row],[Volume (L)]]=0,products_parts[[#This Row],[Height]]*products_parts[[#This Row],[length]]*products_parts[[#This Row],[Width Total]]/1000000,products_parts[[#This Row],[Volume (L)]])</f>
        <v>7.4412000000000006E-2</v>
      </c>
      <c r="F22" s="75">
        <f>products_parts[esr_dc]*products_parts[Cells in Series]/products_parts[Total Parallel]</f>
        <v>42.857142857142854</v>
      </c>
      <c r="G22" s="75">
        <f>IF(products_parts[[#This Row],[height2]]=0,products_parts[[#This Row],[length]]-products_parts[[#This Row],[lead_space_s]],products_parts[[#This Row],[height2]])</f>
        <v>52</v>
      </c>
      <c r="H22" s="85">
        <f>IF(products_parts[[#This Row],[thickness]]=0,IF(products_parts[[#This Row],[width]]=0,products_parts[[#This Row],[diameter]],products_parts[[#This Row],[width]]),products_parts[[#This Row],[thickness]])</f>
        <v>27</v>
      </c>
      <c r="I22" s="85">
        <f>IF(products_parts[[#This Row],[voltage]]=0,1000,ROUNDUP(WorkingV/products_parts[Operating Voltage (temp)],0))</f>
        <v>1</v>
      </c>
      <c r="J22" s="75">
        <f>ROUNDUP(Constant/(WorkingV-MinV)*((products_parts[esr_dc]/1000*products_parts[[#This Row],[Cap]])+Time)*products_parts[[#This Row],[Cells in Series]]/products_parts[[#This Row],[Cap]],0)</f>
        <v>7</v>
      </c>
      <c r="K22" s="78">
        <f>ROUNDUP(((Constant/WorkingV+Constant/MinV)/2)*(((products_parts[esr_dc]/1000*products_parts[Cap]))+Time)/(WorkingV-MinV)*(products_parts[[#This Row],[Cells in Series]]/products_parts[Cap]),0)</f>
        <v>1</v>
      </c>
      <c r="L22" s="79">
        <f>IF(Calculations!$J$2=1,products_parts[Cells in Parallel],products_parts[Parallel CP])</f>
        <v>7</v>
      </c>
      <c r="M22" s="75">
        <f>products_parts[[#This Row],[Cells in Series]]*products_parts[[#This Row],[Total Parallel]]</f>
        <v>7</v>
      </c>
      <c r="N22" s="76">
        <f>products_parts[[#This Row],[Price per Cell]]*products_parts[[#This Row],[Total '# of Caps]]</f>
        <v>399.14000000000004</v>
      </c>
      <c r="O22" s="77">
        <f>products_parts[[#This Row],[Calculated Volume]]*products_parts[[#This Row],[Total '# of Caps]]</f>
        <v>0.52088400000000001</v>
      </c>
      <c r="P22" s="77">
        <f>products_parts[[#This Row],[weight]]*products_parts[[#This Row],[Total '# of Caps]]</f>
        <v>0</v>
      </c>
      <c r="Q22" s="78" t="b">
        <f>AND(products_parts[[#This Row],[Height]]&gt;MIN(Calculations!$K$2,Calculations!$L$2),products_parts[[#This Row],[Height]]&lt;MAX(Calculations!$K$2,Calculations!$L$2))</f>
        <v>1</v>
      </c>
      <c r="R22" s="86">
        <f>IF(ISNUMBER(SEARCH("TPL",products_parts[[#This Row],[series]])),1,IF(products_parts[[#This Row],[series]]="PC",1,IF(ISNUMBER(SEARCH("PBL",products_parts[[#This Row],[series]])),2,2)))</f>
        <v>2</v>
      </c>
      <c r="S22" s="78" t="str">
        <f>IF(TempRange=2,IF(products_parts[[#This Row],[voltage2]]=0,"0","1"),"1")</f>
        <v>1</v>
      </c>
      <c r="T22" s="78">
        <f>IF(TempRange=1,products_parts[voltage],products_parts[voltage2])</f>
        <v>21.6</v>
      </c>
      <c r="U22" s="79" t="str">
        <f>IF(ISNUMBER(SEARCH("PBL ",products_parts[series])),"PBL",products_parts[series])</f>
        <v>PBLS</v>
      </c>
      <c r="V22" s="87" t="s">
        <v>84</v>
      </c>
      <c r="W22" s="87" t="s">
        <v>130</v>
      </c>
      <c r="X22" s="68">
        <v>21.6</v>
      </c>
      <c r="Y22" s="68">
        <v>0</v>
      </c>
      <c r="Z22" s="68">
        <v>4250000</v>
      </c>
      <c r="AA22" s="68">
        <v>300</v>
      </c>
      <c r="AB22" s="68">
        <v>1.42</v>
      </c>
      <c r="AC22" s="68">
        <v>0</v>
      </c>
      <c r="AD22" s="68">
        <v>53</v>
      </c>
      <c r="AE22" s="68">
        <v>0</v>
      </c>
      <c r="AF22" s="68">
        <v>52</v>
      </c>
      <c r="AG22" s="68">
        <v>27</v>
      </c>
      <c r="AH22" s="68">
        <v>0</v>
      </c>
      <c r="AI22" s="87" t="s">
        <v>37</v>
      </c>
      <c r="AJ22" s="87" t="s">
        <v>156</v>
      </c>
      <c r="AK22" s="68">
        <v>0</v>
      </c>
      <c r="AL22" s="68">
        <v>57.02</v>
      </c>
    </row>
    <row r="23" spans="1:38" s="37" customFormat="1" x14ac:dyDescent="0.25">
      <c r="A23" s="84">
        <f>products_parts[[#This Row],[Total Price]]+ROW()*0.0001</f>
        <v>370.6223</v>
      </c>
      <c r="B23" s="75">
        <f>products_parts[[#This Row],[cap_uf]]/1000000</f>
        <v>5</v>
      </c>
      <c r="C23" s="93">
        <f>products_parts[[#This Row],[Cap]]*products_parts[Total Parallel]/products_parts[Cells in Series]</f>
        <v>30</v>
      </c>
      <c r="D23" s="75">
        <f>PI()*((products_parts[[#This Row],[diameter]]/2)^2)*products_parts[[#This Row],[length]]/1000000</f>
        <v>0</v>
      </c>
      <c r="E23" s="75">
        <f>IF(products_parts[[#This Row],[Volume (L)]]=0,products_parts[[#This Row],[Height]]*products_parts[[#This Row],[length]]*products_parts[[#This Row],[Width Total]]/1000000,products_parts[[#This Row],[Volume (L)]])</f>
        <v>7.4412000000000006E-2</v>
      </c>
      <c r="F23" s="75">
        <f>products_parts[esr_dc]*products_parts[Cells in Series]/products_parts[Total Parallel]</f>
        <v>48.666666666666664</v>
      </c>
      <c r="G23" s="75">
        <f>IF(products_parts[[#This Row],[height2]]=0,products_parts[[#This Row],[length]]-products_parts[[#This Row],[lead_space_s]],products_parts[[#This Row],[height2]])</f>
        <v>52</v>
      </c>
      <c r="H23" s="85">
        <f>IF(products_parts[[#This Row],[thickness]]=0,IF(products_parts[[#This Row],[width]]=0,products_parts[[#This Row],[diameter]],products_parts[[#This Row],[width]]),products_parts[[#This Row],[thickness]])</f>
        <v>27</v>
      </c>
      <c r="I23" s="85">
        <f>IF(products_parts[[#This Row],[voltage]]=0,1000,ROUNDUP(WorkingV/products_parts[Operating Voltage (temp)],0))</f>
        <v>1</v>
      </c>
      <c r="J23" s="75">
        <f>ROUNDUP(Constant/(WorkingV-MinV)*((products_parts[esr_dc]/1000*products_parts[[#This Row],[Cap]])+Time)*products_parts[[#This Row],[Cells in Series]]/products_parts[[#This Row],[Cap]],0)</f>
        <v>6</v>
      </c>
      <c r="K23" s="79">
        <f>ROUNDUP(((Constant/WorkingV+Constant/MinV)/2)*(((products_parts[esr_dc]/1000*products_parts[Cap]))+Time)/(WorkingV-MinV)*(products_parts[[#This Row],[Cells in Series]]/products_parts[Cap]),0)</f>
        <v>1</v>
      </c>
      <c r="L23" s="79">
        <f>IF(Calculations!$J$2=1,products_parts[Cells in Parallel],products_parts[Parallel CP])</f>
        <v>6</v>
      </c>
      <c r="M23" s="75">
        <f>products_parts[[#This Row],[Cells in Series]]*products_parts[[#This Row],[Total Parallel]]</f>
        <v>6</v>
      </c>
      <c r="N23" s="76">
        <f>products_parts[[#This Row],[Price per Cell]]*products_parts[[#This Row],[Total '# of Caps]]</f>
        <v>370.62</v>
      </c>
      <c r="O23" s="77">
        <f>products_parts[[#This Row],[Calculated Volume]]*products_parts[[#This Row],[Total '# of Caps]]</f>
        <v>0.44647200000000004</v>
      </c>
      <c r="P23" s="77">
        <f>products_parts[[#This Row],[weight]]*products_parts[[#This Row],[Total '# of Caps]]</f>
        <v>0</v>
      </c>
      <c r="Q23" s="78" t="b">
        <f>AND(products_parts[[#This Row],[Height]]&gt;MIN(Calculations!$K$2,Calculations!$L$2),products_parts[[#This Row],[Height]]&lt;MAX(Calculations!$K$2,Calculations!$L$2))</f>
        <v>1</v>
      </c>
      <c r="R23" s="86">
        <f>IF(ISNUMBER(SEARCH("TPL",products_parts[[#This Row],[series]])),1,IF(products_parts[[#This Row],[series]]="PC",1,IF(ISNUMBER(SEARCH("PBL",products_parts[[#This Row],[series]])),2,2)))</f>
        <v>2</v>
      </c>
      <c r="S23" s="78" t="str">
        <f>IF(TempRange=2,IF(products_parts[[#This Row],[voltage2]]=0,"0","1"),"1")</f>
        <v>1</v>
      </c>
      <c r="T23" s="78">
        <f>IF(TempRange=1,products_parts[voltage],products_parts[voltage2])</f>
        <v>21.6</v>
      </c>
      <c r="U23" s="79" t="str">
        <f>IF(ISNUMBER(SEARCH("PBL ",products_parts[series])),"PBL",products_parts[series])</f>
        <v>PBLS</v>
      </c>
      <c r="V23" s="87" t="s">
        <v>84</v>
      </c>
      <c r="W23" s="87" t="s">
        <v>131</v>
      </c>
      <c r="X23" s="68">
        <v>21.6</v>
      </c>
      <c r="Y23" s="68">
        <v>0</v>
      </c>
      <c r="Z23" s="68">
        <v>5000000</v>
      </c>
      <c r="AA23" s="68">
        <v>292</v>
      </c>
      <c r="AB23" s="68">
        <v>1.43</v>
      </c>
      <c r="AC23" s="68">
        <v>0</v>
      </c>
      <c r="AD23" s="68">
        <v>53</v>
      </c>
      <c r="AE23" s="68">
        <v>0</v>
      </c>
      <c r="AF23" s="68">
        <v>52</v>
      </c>
      <c r="AG23" s="68">
        <v>27</v>
      </c>
      <c r="AH23" s="68">
        <v>0</v>
      </c>
      <c r="AI23" s="87" t="s">
        <v>37</v>
      </c>
      <c r="AJ23" s="87" t="s">
        <v>156</v>
      </c>
      <c r="AK23" s="68">
        <v>0</v>
      </c>
      <c r="AL23" s="68">
        <v>61.77</v>
      </c>
    </row>
    <row r="24" spans="1:38" s="37" customFormat="1" x14ac:dyDescent="0.25">
      <c r="A24" s="84">
        <f>products_parts[[#This Row],[Total Price]]+ROW()*0.0001</f>
        <v>399.12240000000003</v>
      </c>
      <c r="B24" s="75">
        <f>products_parts[[#This Row],[cap_uf]]/1000000</f>
        <v>5.62</v>
      </c>
      <c r="C24" s="93">
        <f>products_parts[[#This Row],[Cap]]*products_parts[Total Parallel]/products_parts[Cells in Series]</f>
        <v>33.72</v>
      </c>
      <c r="D24" s="75">
        <f>PI()*((products_parts[[#This Row],[diameter]]/2)^2)*products_parts[[#This Row],[length]]/1000000</f>
        <v>0</v>
      </c>
      <c r="E24" s="75">
        <f>IF(products_parts[[#This Row],[Volume (L)]]=0,products_parts[[#This Row],[Height]]*products_parts[[#This Row],[length]]*products_parts[[#This Row],[Width Total]]/1000000,products_parts[[#This Row],[Volume (L)]])</f>
        <v>8.7290999999999994E-2</v>
      </c>
      <c r="F24" s="75">
        <f>products_parts[esr_dc]*products_parts[Cells in Series]/products_parts[Total Parallel]</f>
        <v>39.333333333333336</v>
      </c>
      <c r="G24" s="75">
        <f>IF(products_parts[[#This Row],[height2]]=0,products_parts[[#This Row],[length]]-products_parts[[#This Row],[lead_space_s]],products_parts[[#This Row],[height2]])</f>
        <v>61</v>
      </c>
      <c r="H24" s="85">
        <f>IF(products_parts[[#This Row],[thickness]]=0,IF(products_parts[[#This Row],[width]]=0,products_parts[[#This Row],[diameter]],products_parts[[#This Row],[width]]),products_parts[[#This Row],[thickness]])</f>
        <v>27</v>
      </c>
      <c r="I24" s="85">
        <f>IF(products_parts[[#This Row],[voltage]]=0,1000,ROUNDUP(WorkingV/products_parts[Operating Voltage (temp)],0))</f>
        <v>1</v>
      </c>
      <c r="J24" s="75">
        <f>ROUNDUP(Constant/(WorkingV-MinV)*((products_parts[esr_dc]/1000*products_parts[[#This Row],[Cap]])+Time)*products_parts[[#This Row],[Cells in Series]]/products_parts[[#This Row],[Cap]],0)</f>
        <v>6</v>
      </c>
      <c r="K24" s="79">
        <f>ROUNDUP(((Constant/WorkingV+Constant/MinV)/2)*(((products_parts[esr_dc]/1000*products_parts[Cap]))+Time)/(WorkingV-MinV)*(products_parts[[#This Row],[Cells in Series]]/products_parts[Cap]),0)</f>
        <v>1</v>
      </c>
      <c r="L24" s="79">
        <f>IF(Calculations!$J$2=1,products_parts[Cells in Parallel],products_parts[Parallel CP])</f>
        <v>6</v>
      </c>
      <c r="M24" s="75">
        <f>products_parts[[#This Row],[Cells in Series]]*products_parts[[#This Row],[Total Parallel]]</f>
        <v>6</v>
      </c>
      <c r="N24" s="76">
        <f>products_parts[[#This Row],[Price per Cell]]*products_parts[[#This Row],[Total '# of Caps]]</f>
        <v>399.12</v>
      </c>
      <c r="O24" s="77">
        <f>products_parts[[#This Row],[Calculated Volume]]*products_parts[[#This Row],[Total '# of Caps]]</f>
        <v>0.52374599999999993</v>
      </c>
      <c r="P24" s="77">
        <f>products_parts[[#This Row],[weight]]*products_parts[[#This Row],[Total '# of Caps]]</f>
        <v>0</v>
      </c>
      <c r="Q24" s="78" t="b">
        <f>AND(products_parts[[#This Row],[Height]]&gt;MIN(Calculations!$K$2,Calculations!$L$2),products_parts[[#This Row],[Height]]&lt;MAX(Calculations!$K$2,Calculations!$L$2))</f>
        <v>1</v>
      </c>
      <c r="R24" s="86">
        <f>IF(ISNUMBER(SEARCH("TPL",products_parts[[#This Row],[series]])),1,IF(products_parts[[#This Row],[series]]="PC",1,IF(ISNUMBER(SEARCH("PBL",products_parts[[#This Row],[series]])),2,2)))</f>
        <v>2</v>
      </c>
      <c r="S24" s="78" t="str">
        <f>IF(TempRange=2,IF(products_parts[[#This Row],[voltage2]]=0,"0","1"),"1")</f>
        <v>1</v>
      </c>
      <c r="T24" s="78">
        <f>IF(TempRange=1,products_parts[voltage],products_parts[voltage2])</f>
        <v>21.6</v>
      </c>
      <c r="U24" s="79" t="str">
        <f>IF(ISNUMBER(SEARCH("PBL ",products_parts[series])),"PBL",products_parts[series])</f>
        <v>PBLS</v>
      </c>
      <c r="V24" s="87" t="s">
        <v>84</v>
      </c>
      <c r="W24" s="87" t="s">
        <v>132</v>
      </c>
      <c r="X24" s="68">
        <v>21.6</v>
      </c>
      <c r="Y24" s="68">
        <v>0</v>
      </c>
      <c r="Z24" s="68">
        <v>5620000</v>
      </c>
      <c r="AA24" s="68">
        <v>236</v>
      </c>
      <c r="AB24" s="68">
        <v>1.45</v>
      </c>
      <c r="AC24" s="68">
        <v>0</v>
      </c>
      <c r="AD24" s="68">
        <v>53</v>
      </c>
      <c r="AE24" s="68">
        <v>0</v>
      </c>
      <c r="AF24" s="68">
        <v>61</v>
      </c>
      <c r="AG24" s="68">
        <v>27</v>
      </c>
      <c r="AH24" s="68">
        <v>0</v>
      </c>
      <c r="AI24" s="87" t="s">
        <v>37</v>
      </c>
      <c r="AJ24" s="87" t="s">
        <v>156</v>
      </c>
      <c r="AK24" s="68">
        <v>0</v>
      </c>
      <c r="AL24" s="68">
        <v>66.52</v>
      </c>
    </row>
    <row r="25" spans="1:38" s="37" customFormat="1" x14ac:dyDescent="0.25">
      <c r="A25" s="84">
        <f>products_parts[[#This Row],[Total Price]]+ROW()*0.0001</f>
        <v>356.40249999999997</v>
      </c>
      <c r="B25" s="75">
        <f>products_parts[[#This Row],[cap_uf]]/1000000</f>
        <v>6.25</v>
      </c>
      <c r="C25" s="93">
        <f>products_parts[[#This Row],[Cap]]*products_parts[Total Parallel]/products_parts[Cells in Series]</f>
        <v>31.25</v>
      </c>
      <c r="D25" s="75">
        <f>PI()*((products_parts[[#This Row],[diameter]]/2)^2)*products_parts[[#This Row],[length]]/1000000</f>
        <v>0</v>
      </c>
      <c r="E25" s="75">
        <f>IF(products_parts[[#This Row],[Volume (L)]]=0,products_parts[[#This Row],[Height]]*products_parts[[#This Row],[length]]*products_parts[[#This Row],[Width Total]]/1000000,products_parts[[#This Row],[Volume (L)]])</f>
        <v>9.4446000000000002E-2</v>
      </c>
      <c r="F25" s="75">
        <f>products_parts[esr_dc]*products_parts[Cells in Series]/products_parts[Total Parallel]</f>
        <v>44</v>
      </c>
      <c r="G25" s="75">
        <f>IF(products_parts[[#This Row],[height2]]=0,products_parts[[#This Row],[length]]-products_parts[[#This Row],[lead_space_s]],products_parts[[#This Row],[height2]])</f>
        <v>66</v>
      </c>
      <c r="H25" s="85">
        <f>IF(products_parts[[#This Row],[thickness]]=0,IF(products_parts[[#This Row],[width]]=0,products_parts[[#This Row],[diameter]],products_parts[[#This Row],[width]]),products_parts[[#This Row],[thickness]])</f>
        <v>27</v>
      </c>
      <c r="I25" s="85">
        <f>IF(products_parts[[#This Row],[voltage]]=0,1000,ROUNDUP(WorkingV/products_parts[Operating Voltage (temp)],0))</f>
        <v>1</v>
      </c>
      <c r="J25" s="75">
        <f>ROUNDUP(Constant/(WorkingV-MinV)*((products_parts[esr_dc]/1000*products_parts[[#This Row],[Cap]])+Time)*products_parts[[#This Row],[Cells in Series]]/products_parts[[#This Row],[Cap]],0)</f>
        <v>5</v>
      </c>
      <c r="K25" s="78">
        <f>ROUNDUP(((Constant/WorkingV+Constant/MinV)/2)*(((products_parts[esr_dc]/1000*products_parts[Cap]))+Time)/(WorkingV-MinV)*(products_parts[[#This Row],[Cells in Series]]/products_parts[Cap]),0)</f>
        <v>1</v>
      </c>
      <c r="L25" s="79">
        <f>IF(Calculations!$J$2=1,products_parts[Cells in Parallel],products_parts[Parallel CP])</f>
        <v>5</v>
      </c>
      <c r="M25" s="75">
        <f>products_parts[[#This Row],[Cells in Series]]*products_parts[[#This Row],[Total Parallel]]</f>
        <v>5</v>
      </c>
      <c r="N25" s="76">
        <f>products_parts[[#This Row],[Price per Cell]]*products_parts[[#This Row],[Total '# of Caps]]</f>
        <v>356.4</v>
      </c>
      <c r="O25" s="77">
        <f>products_parts[[#This Row],[Calculated Volume]]*products_parts[[#This Row],[Total '# of Caps]]</f>
        <v>0.47223000000000004</v>
      </c>
      <c r="P25" s="77">
        <f>products_parts[[#This Row],[weight]]*products_parts[[#This Row],[Total '# of Caps]]</f>
        <v>0</v>
      </c>
      <c r="Q25" s="78" t="b">
        <f>AND(products_parts[[#This Row],[Height]]&gt;MIN(Calculations!$K$2,Calculations!$L$2),products_parts[[#This Row],[Height]]&lt;MAX(Calculations!$K$2,Calculations!$L$2))</f>
        <v>1</v>
      </c>
      <c r="R25" s="86">
        <f>IF(ISNUMBER(SEARCH("TPL",products_parts[[#This Row],[series]])),1,IF(products_parts[[#This Row],[series]]="PC",1,IF(ISNUMBER(SEARCH("PBL",products_parts[[#This Row],[series]])),2,2)))</f>
        <v>2</v>
      </c>
      <c r="S25" s="78" t="str">
        <f>IF(TempRange=2,IF(products_parts[[#This Row],[voltage2]]=0,"0","1"),"1")</f>
        <v>1</v>
      </c>
      <c r="T25" s="79">
        <f>IF(TempRange=1,products_parts[voltage],products_parts[voltage2])</f>
        <v>21.6</v>
      </c>
      <c r="U25" s="79" t="str">
        <f>IF(ISNUMBER(SEARCH("PBL ",products_parts[series])),"PBL",products_parts[series])</f>
        <v>PBLS</v>
      </c>
      <c r="V25" s="87" t="s">
        <v>84</v>
      </c>
      <c r="W25" s="87" t="s">
        <v>133</v>
      </c>
      <c r="X25" s="68">
        <v>21.6</v>
      </c>
      <c r="Y25" s="68">
        <v>0</v>
      </c>
      <c r="Z25" s="68">
        <v>6250000</v>
      </c>
      <c r="AA25" s="68">
        <v>220</v>
      </c>
      <c r="AB25" s="68">
        <v>1.48</v>
      </c>
      <c r="AC25" s="68">
        <v>0</v>
      </c>
      <c r="AD25" s="68">
        <v>53</v>
      </c>
      <c r="AE25" s="68">
        <v>0</v>
      </c>
      <c r="AF25" s="68">
        <v>66</v>
      </c>
      <c r="AG25" s="68">
        <v>27</v>
      </c>
      <c r="AH25" s="68">
        <v>0</v>
      </c>
      <c r="AI25" s="87" t="s">
        <v>37</v>
      </c>
      <c r="AJ25" s="87" t="s">
        <v>156</v>
      </c>
      <c r="AK25" s="68">
        <v>0</v>
      </c>
      <c r="AL25" s="68">
        <v>71.28</v>
      </c>
    </row>
    <row r="26" spans="1:38" s="37" customFormat="1" x14ac:dyDescent="0.25">
      <c r="A26" s="84">
        <f>products_parts[[#This Row],[Total Price]]+ROW()*0.0001</f>
        <v>295.00259999999997</v>
      </c>
      <c r="B26" s="75">
        <f>products_parts[[#This Row],[cap_uf]]/1000000</f>
        <v>58</v>
      </c>
      <c r="C26" s="93">
        <f>products_parts[[#This Row],[Cap]]*products_parts[Total Parallel]/products_parts[Cells in Series]</f>
        <v>58</v>
      </c>
      <c r="D26" s="75">
        <f>PI()*((products_parts[[#This Row],[diameter]]/2)^2)*products_parts[[#This Row],[length]]/1000000</f>
        <v>0</v>
      </c>
      <c r="E26" s="75">
        <f>IF(products_parts[[#This Row],[Volume (L)]]=0,products_parts[[#This Row],[Height]]*products_parts[[#This Row],[length]]*products_parts[[#This Row],[Width Total]]/1000000,products_parts[[#This Row],[Volume (L)]])</f>
        <v>0.59173600000000004</v>
      </c>
      <c r="F26" s="75">
        <f>products_parts[esr_dc]*products_parts[Cells in Series]/products_parts[Total Parallel]</f>
        <v>28</v>
      </c>
      <c r="G26" s="75">
        <f>IF(products_parts[[#This Row],[height2]]=0,products_parts[[#This Row],[length]]-products_parts[[#This Row],[lead_space_s]],products_parts[[#This Row],[height2]])</f>
        <v>38</v>
      </c>
      <c r="H26" s="85">
        <f>IF(products_parts[[#This Row],[thickness]]=0,IF(products_parts[[#This Row],[width]]=0,products_parts[[#This Row],[diameter]],products_parts[[#This Row],[width]]),products_parts[[#This Row],[thickness]])</f>
        <v>68</v>
      </c>
      <c r="I26" s="85">
        <f>IF(products_parts[[#This Row],[voltage]]=0,1000,ROUNDUP(WorkingV/products_parts[Operating Voltage (temp)],0))</f>
        <v>1</v>
      </c>
      <c r="J26" s="75">
        <f>ROUNDUP(Constant/(WorkingV-MinV)*((products_parts[esr_dc]/1000*products_parts[[#This Row],[Cap]])+Time)*products_parts[[#This Row],[Cells in Series]]/products_parts[[#This Row],[Cap]],0)</f>
        <v>1</v>
      </c>
      <c r="K26" s="78">
        <f>ROUNDUP(((Constant/WorkingV+Constant/MinV)/2)*(((products_parts[esr_dc]/1000*products_parts[Cap]))+Time)/(WorkingV-MinV)*(products_parts[[#This Row],[Cells in Series]]/products_parts[Cap]),0)</f>
        <v>1</v>
      </c>
      <c r="L26" s="79">
        <f>IF(Calculations!$J$2=1,products_parts[Cells in Parallel],products_parts[Parallel CP])</f>
        <v>1</v>
      </c>
      <c r="M26" s="75">
        <f>products_parts[[#This Row],[Cells in Series]]*products_parts[[#This Row],[Total Parallel]]</f>
        <v>1</v>
      </c>
      <c r="N26" s="76">
        <f>products_parts[[#This Row],[Price per Cell]]*products_parts[[#This Row],[Total '# of Caps]]</f>
        <v>295</v>
      </c>
      <c r="O26" s="77">
        <f>products_parts[[#This Row],[Calculated Volume]]*products_parts[[#This Row],[Total '# of Caps]]</f>
        <v>0.59173600000000004</v>
      </c>
      <c r="P26" s="77">
        <f>products_parts[[#This Row],[weight]]*products_parts[[#This Row],[Total '# of Caps]]</f>
        <v>514</v>
      </c>
      <c r="Q26" s="78" t="b">
        <f>AND(products_parts[[#This Row],[Height]]&gt;MIN(Calculations!$K$2,Calculations!$L$2),products_parts[[#This Row],[Height]]&lt;MAX(Calculations!$K$2,Calculations!$L$2))</f>
        <v>1</v>
      </c>
      <c r="R26" s="86">
        <f>IF(ISNUMBER(SEARCH("TPL",products_parts[[#This Row],[series]])),1,IF(products_parts[[#This Row],[series]]="PC",1,IF(ISNUMBER(SEARCH("PBL",products_parts[[#This Row],[series]])),2,2)))</f>
        <v>2</v>
      </c>
      <c r="S26" s="86" t="str">
        <f>IF(TempRange=2,IF(products_parts[[#This Row],[voltage2]]=0,"0","1"),"1")</f>
        <v>1</v>
      </c>
      <c r="T26" s="79">
        <f>IF(TempRange=1,products_parts[voltage],products_parts[voltage2])</f>
        <v>16.2</v>
      </c>
      <c r="U26" s="79" t="str">
        <f>IF(ISNUMBER(SEARCH("PBL ",products_parts[series])),"PBL",products_parts[series])</f>
        <v>PBD</v>
      </c>
      <c r="V26" s="87" t="s">
        <v>157</v>
      </c>
      <c r="W26" s="87" t="s">
        <v>158</v>
      </c>
      <c r="X26" s="68">
        <v>16.2</v>
      </c>
      <c r="Y26" s="68">
        <v>0</v>
      </c>
      <c r="Z26" s="68">
        <v>58000000</v>
      </c>
      <c r="AA26" s="68">
        <v>28</v>
      </c>
      <c r="AB26" s="68">
        <v>1</v>
      </c>
      <c r="AC26" s="68">
        <v>0</v>
      </c>
      <c r="AD26" s="68">
        <v>229</v>
      </c>
      <c r="AE26" s="68">
        <v>68</v>
      </c>
      <c r="AF26" s="68">
        <v>38</v>
      </c>
      <c r="AG26" s="68">
        <v>0</v>
      </c>
      <c r="AH26" s="68">
        <v>0</v>
      </c>
      <c r="AI26" s="87" t="s">
        <v>37</v>
      </c>
      <c r="AJ26" s="87" t="s">
        <v>156</v>
      </c>
      <c r="AK26" s="68">
        <v>514</v>
      </c>
      <c r="AL26" s="68">
        <v>295</v>
      </c>
    </row>
    <row r="27" spans="1:38" s="37" customFormat="1" x14ac:dyDescent="0.25">
      <c r="A27" s="84">
        <f>products_parts[[#This Row],[Total Price]]+ROW()*0.0001</f>
        <v>325.0027</v>
      </c>
      <c r="B27" s="75">
        <f>products_parts[[#This Row],[cap_uf]]/1000000</f>
        <v>58</v>
      </c>
      <c r="C27" s="93">
        <f>products_parts[[#This Row],[Cap]]*products_parts[Total Parallel]/products_parts[Cells in Series]</f>
        <v>58</v>
      </c>
      <c r="D27" s="75">
        <f>PI()*((products_parts[[#This Row],[diameter]]/2)^2)*products_parts[[#This Row],[length]]/1000000</f>
        <v>0</v>
      </c>
      <c r="E27" s="75">
        <f>IF(products_parts[[#This Row],[Volume (L)]]=0,products_parts[[#This Row],[Height]]*products_parts[[#This Row],[length]]*products_parts[[#This Row],[Width Total]]/1000000,products_parts[[#This Row],[Volume (L)]])</f>
        <v>0.87141999999999997</v>
      </c>
      <c r="F27" s="75">
        <f>products_parts[esr_dc]*products_parts[Cells in Series]/products_parts[Total Parallel]</f>
        <v>28</v>
      </c>
      <c r="G27" s="75">
        <f>IF(products_parts[[#This Row],[height2]]=0,products_parts[[#This Row],[length]]-products_parts[[#This Row],[lead_space_s]],products_parts[[#This Row],[height2]])</f>
        <v>44</v>
      </c>
      <c r="H27" s="85">
        <f>IF(products_parts[[#This Row],[thickness]]=0,IF(products_parts[[#This Row],[width]]=0,products_parts[[#This Row],[diameter]],products_parts[[#This Row],[width]]),products_parts[[#This Row],[thickness]])</f>
        <v>85</v>
      </c>
      <c r="I27" s="85">
        <f>IF(products_parts[[#This Row],[voltage]]=0,1000,ROUNDUP(WorkingV/products_parts[Operating Voltage (temp)],0))</f>
        <v>1</v>
      </c>
      <c r="J27" s="75">
        <f>ROUNDUP(Constant/(WorkingV-MinV)*((products_parts[esr_dc]/1000*products_parts[[#This Row],[Cap]])+Time)*products_parts[[#This Row],[Cells in Series]]/products_parts[[#This Row],[Cap]],0)</f>
        <v>1</v>
      </c>
      <c r="K27" s="79">
        <f>ROUNDUP(((Constant/WorkingV+Constant/MinV)/2)*(((products_parts[esr_dc]/1000*products_parts[Cap]))+Time)/(WorkingV-MinV)*(products_parts[[#This Row],[Cells in Series]]/products_parts[Cap]),0)</f>
        <v>1</v>
      </c>
      <c r="L27" s="79">
        <f>IF(Calculations!$J$2=1,products_parts[Cells in Parallel],products_parts[Parallel CP])</f>
        <v>1</v>
      </c>
      <c r="M27" s="75">
        <f>products_parts[[#This Row],[Cells in Series]]*products_parts[[#This Row],[Total Parallel]]</f>
        <v>1</v>
      </c>
      <c r="N27" s="76">
        <f>products_parts[[#This Row],[Price per Cell]]*products_parts[[#This Row],[Total '# of Caps]]</f>
        <v>325</v>
      </c>
      <c r="O27" s="77">
        <f>products_parts[[#This Row],[Calculated Volume]]*products_parts[[#This Row],[Total '# of Caps]]</f>
        <v>0.87141999999999997</v>
      </c>
      <c r="P27" s="77">
        <f>products_parts[[#This Row],[weight]]*products_parts[[#This Row],[Total '# of Caps]]</f>
        <v>943</v>
      </c>
      <c r="Q27" s="78" t="b">
        <f>AND(products_parts[[#This Row],[Height]]&gt;MIN(Calculations!$K$2,Calculations!$L$2),products_parts[[#This Row],[Height]]&lt;MAX(Calculations!$K$2,Calculations!$L$2))</f>
        <v>1</v>
      </c>
      <c r="R27" s="86">
        <f>IF(ISNUMBER(SEARCH("TPL",products_parts[[#This Row],[series]])),1,IF(products_parts[[#This Row],[series]]="PC",1,IF(ISNUMBER(SEARCH("PBL",products_parts[[#This Row],[series]])),2,2)))</f>
        <v>2</v>
      </c>
      <c r="S27" s="78" t="str">
        <f>IF(TempRange=2,IF(products_parts[[#This Row],[voltage2]]=0,"0","1"),"1")</f>
        <v>1</v>
      </c>
      <c r="T27" s="78">
        <f>IF(TempRange=1,products_parts[voltage],products_parts[voltage2])</f>
        <v>16.2</v>
      </c>
      <c r="U27" s="79" t="str">
        <f>IF(ISNUMBER(SEARCH("PBL ",products_parts[series])),"PBL",products_parts[series])</f>
        <v>PBD</v>
      </c>
      <c r="V27" s="87" t="s">
        <v>157</v>
      </c>
      <c r="W27" s="87" t="s">
        <v>159</v>
      </c>
      <c r="X27" s="68">
        <v>16.2</v>
      </c>
      <c r="Y27" s="68">
        <v>0</v>
      </c>
      <c r="Z27" s="68">
        <v>58000000</v>
      </c>
      <c r="AA27" s="68">
        <v>28</v>
      </c>
      <c r="AB27" s="68">
        <v>1</v>
      </c>
      <c r="AC27" s="68">
        <v>0</v>
      </c>
      <c r="AD27" s="68">
        <v>233</v>
      </c>
      <c r="AE27" s="68">
        <v>85</v>
      </c>
      <c r="AF27" s="68">
        <v>44</v>
      </c>
      <c r="AG27" s="68">
        <v>0</v>
      </c>
      <c r="AH27" s="68">
        <v>0</v>
      </c>
      <c r="AI27" s="87" t="s">
        <v>37</v>
      </c>
      <c r="AJ27" s="87" t="s">
        <v>156</v>
      </c>
      <c r="AK27" s="68">
        <v>943</v>
      </c>
      <c r="AL27" s="68">
        <v>325</v>
      </c>
    </row>
    <row r="28" spans="1:38" s="37" customFormat="1" x14ac:dyDescent="0.25">
      <c r="A28" s="84">
        <f>products_parts[[#This Row],[Total Price]]+ROW()*0.0001</f>
        <v>300.00279999999998</v>
      </c>
      <c r="B28" s="75">
        <f>products_parts[[#This Row],[cap_uf]]/1000000</f>
        <v>25</v>
      </c>
      <c r="C28" s="93">
        <f>products_parts[[#This Row],[Cap]]*products_parts[Total Parallel]/products_parts[Cells in Series]</f>
        <v>50</v>
      </c>
      <c r="D28" s="75">
        <f>PI()*((products_parts[[#This Row],[diameter]]/2)^2)*products_parts[[#This Row],[length]]/1000000</f>
        <v>0</v>
      </c>
      <c r="E28" s="75">
        <f>IF(products_parts[[#This Row],[Volume (L)]]=0,products_parts[[#This Row],[Height]]*products_parts[[#This Row],[length]]*products_parts[[#This Row],[Width Total]]/1000000,products_parts[[#This Row],[Volume (L)]])</f>
        <v>0.28158</v>
      </c>
      <c r="F28" s="75">
        <f>products_parts[esr_dc]*products_parts[Cells in Series]/products_parts[Total Parallel]</f>
        <v>43</v>
      </c>
      <c r="G28" s="75">
        <f>IF(products_parts[[#This Row],[height2]]=0,products_parts[[#This Row],[length]]-products_parts[[#This Row],[lead_space_s]],products_parts[[#This Row],[height2]])</f>
        <v>57</v>
      </c>
      <c r="H28" s="85">
        <f>IF(products_parts[[#This Row],[thickness]]=0,IF(products_parts[[#This Row],[width]]=0,products_parts[[#This Row],[diameter]],products_parts[[#This Row],[width]]),products_parts[[#This Row],[thickness]])</f>
        <v>52</v>
      </c>
      <c r="I28" s="85">
        <f>IF(products_parts[[#This Row],[voltage]]=0,1000,ROUNDUP(WorkingV/products_parts[Operating Voltage (temp)],0))</f>
        <v>1</v>
      </c>
      <c r="J28" s="75">
        <f>ROUNDUP(Constant/(WorkingV-MinV)*((products_parts[esr_dc]/1000*products_parts[[#This Row],[Cap]])+Time)*products_parts[[#This Row],[Cells in Series]]/products_parts[[#This Row],[Cap]],0)</f>
        <v>2</v>
      </c>
      <c r="K28" s="79">
        <f>ROUNDUP(((Constant/WorkingV+Constant/MinV)/2)*(((products_parts[esr_dc]/1000*products_parts[Cap]))+Time)/(WorkingV-MinV)*(products_parts[[#This Row],[Cells in Series]]/products_parts[Cap]),0)</f>
        <v>1</v>
      </c>
      <c r="L28" s="79">
        <f>IF(Calculations!$J$2=1,products_parts[Cells in Parallel],products_parts[Parallel CP])</f>
        <v>2</v>
      </c>
      <c r="M28" s="75">
        <f>products_parts[[#This Row],[Cells in Series]]*products_parts[[#This Row],[Total Parallel]]</f>
        <v>2</v>
      </c>
      <c r="N28" s="76">
        <f>products_parts[[#This Row],[Price per Cell]]*products_parts[[#This Row],[Total '# of Caps]]</f>
        <v>300</v>
      </c>
      <c r="O28" s="77">
        <f>products_parts[[#This Row],[Calculated Volume]]*products_parts[[#This Row],[Total '# of Caps]]</f>
        <v>0.56315999999999999</v>
      </c>
      <c r="P28" s="77">
        <f>products_parts[[#This Row],[weight]]*products_parts[[#This Row],[Total '# of Caps]]</f>
        <v>208</v>
      </c>
      <c r="Q28" s="78" t="b">
        <f>AND(products_parts[[#This Row],[Height]]&gt;MIN(Calculations!$K$2,Calculations!$L$2),products_parts[[#This Row],[Height]]&lt;MAX(Calculations!$K$2,Calculations!$L$2))</f>
        <v>1</v>
      </c>
      <c r="R28" s="86">
        <f>IF(ISNUMBER(SEARCH("TPL",products_parts[[#This Row],[series]])),1,IF(products_parts[[#This Row],[series]]="PC",1,IF(ISNUMBER(SEARCH("PBL",products_parts[[#This Row],[series]])),2,2)))</f>
        <v>2</v>
      </c>
      <c r="S28" s="86" t="str">
        <f>IF(TempRange=2,IF(products_parts[[#This Row],[voltage2]]=0,"0","1"),"1")</f>
        <v>1</v>
      </c>
      <c r="T28" s="79">
        <f>IF(TempRange=1,products_parts[voltage],products_parts[voltage2])</f>
        <v>16.2</v>
      </c>
      <c r="U28" s="79" t="str">
        <f>IF(ISNUMBER(SEARCH("PBL ",products_parts[series])),"PBL",products_parts[series])</f>
        <v>PBL</v>
      </c>
      <c r="V28" s="87" t="s">
        <v>212</v>
      </c>
      <c r="W28" s="87" t="s">
        <v>66</v>
      </c>
      <c r="X28" s="68">
        <v>16.2</v>
      </c>
      <c r="Y28" s="68">
        <v>0</v>
      </c>
      <c r="Z28" s="68">
        <v>25000000</v>
      </c>
      <c r="AA28" s="68">
        <v>86</v>
      </c>
      <c r="AB28" s="68">
        <v>0.53</v>
      </c>
      <c r="AC28" s="68">
        <v>0</v>
      </c>
      <c r="AD28" s="68">
        <v>95</v>
      </c>
      <c r="AE28" s="68">
        <v>52</v>
      </c>
      <c r="AF28" s="68">
        <v>57</v>
      </c>
      <c r="AG28" s="68">
        <v>0</v>
      </c>
      <c r="AH28" s="68">
        <v>0</v>
      </c>
      <c r="AI28" s="87" t="s">
        <v>37</v>
      </c>
      <c r="AJ28" s="87" t="s">
        <v>156</v>
      </c>
      <c r="AK28" s="68">
        <v>104</v>
      </c>
      <c r="AL28" s="68">
        <v>150</v>
      </c>
    </row>
    <row r="29" spans="1:38" s="37" customFormat="1" x14ac:dyDescent="0.25">
      <c r="A29" s="84">
        <f>products_parts[[#This Row],[Total Price]]+ROW()*0.0001</f>
        <v>509.15289999999999</v>
      </c>
      <c r="B29" s="75">
        <f>products_parts[[#This Row],[cap_uf]]/1000000</f>
        <v>1.66</v>
      </c>
      <c r="C29" s="93">
        <f>products_parts[[#This Row],[Cap]]*products_parts[Total Parallel]/products_parts[Cells in Series]</f>
        <v>28.22</v>
      </c>
      <c r="D29" s="75">
        <f>PI()*((products_parts[[#This Row],[diameter]]/2)^2)*products_parts[[#This Row],[length]]/1000000</f>
        <v>0</v>
      </c>
      <c r="E29" s="75">
        <f>IF(products_parts[[#This Row],[Volume (L)]]=0,products_parts[[#This Row],[Height]]*products_parts[[#This Row],[length]]*products_parts[[#This Row],[Width Total]]/1000000,products_parts[[#This Row],[Volume (L)]])</f>
        <v>2.5343999999999998E-2</v>
      </c>
      <c r="F29" s="75">
        <f>products_parts[esr_dc]*products_parts[Cells in Series]/products_parts[Total Parallel]</f>
        <v>33.529411764705884</v>
      </c>
      <c r="G29" s="75">
        <f>IF(products_parts[[#This Row],[height2]]=0,products_parts[[#This Row],[length]]-products_parts[[#This Row],[lead_space_s]],products_parts[[#This Row],[height2]])</f>
        <v>36</v>
      </c>
      <c r="H29" s="85">
        <f>IF(products_parts[[#This Row],[thickness]]=0,IF(products_parts[[#This Row],[width]]=0,products_parts[[#This Row],[diameter]],products_parts[[#This Row],[width]]),products_parts[[#This Row],[thickness]])</f>
        <v>11</v>
      </c>
      <c r="I29" s="85">
        <f>IF(products_parts[[#This Row],[voltage]]=0,1000,ROUNDUP(WorkingV/products_parts[Operating Voltage (temp)],0))</f>
        <v>1</v>
      </c>
      <c r="J29" s="75">
        <f>ROUNDUP(Constant/(WorkingV-MinV)*((products_parts[esr_dc]/1000*products_parts[[#This Row],[Cap]])+Time)*products_parts[[#This Row],[Cells in Series]]/products_parts[[#This Row],[Cap]],0)</f>
        <v>17</v>
      </c>
      <c r="K29" s="79">
        <f>ROUNDUP(((Constant/WorkingV+Constant/MinV)/2)*(((products_parts[esr_dc]/1000*products_parts[Cap]))+Time)/(WorkingV-MinV)*(products_parts[[#This Row],[Cells in Series]]/products_parts[Cap]),0)</f>
        <v>2</v>
      </c>
      <c r="L29" s="79">
        <f>IF(Calculations!$J$2=1,products_parts[Cells in Parallel],products_parts[Parallel CP])</f>
        <v>17</v>
      </c>
      <c r="M29" s="75">
        <f>products_parts[[#This Row],[Cells in Series]]*products_parts[[#This Row],[Total Parallel]]</f>
        <v>17</v>
      </c>
      <c r="N29" s="76">
        <f>products_parts[[#This Row],[Price per Cell]]*products_parts[[#This Row],[Total '# of Caps]]</f>
        <v>509.15</v>
      </c>
      <c r="O29" s="77">
        <f>products_parts[[#This Row],[Calculated Volume]]*products_parts[[#This Row],[Total '# of Caps]]</f>
        <v>0.43084799999999995</v>
      </c>
      <c r="P29" s="77">
        <f>products_parts[[#This Row],[weight]]*products_parts[[#This Row],[Total '# of Caps]]</f>
        <v>0</v>
      </c>
      <c r="Q29" s="78" t="b">
        <f>AND(products_parts[[#This Row],[Height]]&gt;MIN(Calculations!$K$2,Calculations!$L$2),products_parts[[#This Row],[Height]]&lt;MAX(Calculations!$K$2,Calculations!$L$2))</f>
        <v>1</v>
      </c>
      <c r="R29" s="86">
        <f>IF(ISNUMBER(SEARCH("TPL",products_parts[[#This Row],[series]])),1,IF(products_parts[[#This Row],[series]]="PC",1,IF(ISNUMBER(SEARCH("PBL",products_parts[[#This Row],[series]])),2,2)))</f>
        <v>2</v>
      </c>
      <c r="S29" s="78" t="str">
        <f>IF(TempRange=2,IF(products_parts[[#This Row],[voltage2]]=0,"0","1"),"1")</f>
        <v>1</v>
      </c>
      <c r="T29" s="78">
        <f>IF(TempRange=1,products_parts[voltage],products_parts[voltage2])</f>
        <v>16.2</v>
      </c>
      <c r="U29" s="79" t="str">
        <f>IF(ISNUMBER(SEARCH("PBL ",products_parts[series])),"PBL",products_parts[series])</f>
        <v>PBLS</v>
      </c>
      <c r="V29" s="87" t="s">
        <v>84</v>
      </c>
      <c r="W29" s="87" t="s">
        <v>88</v>
      </c>
      <c r="X29" s="68">
        <v>16.2</v>
      </c>
      <c r="Y29" s="68">
        <v>0</v>
      </c>
      <c r="Z29" s="68">
        <v>1660000</v>
      </c>
      <c r="AA29" s="68">
        <v>570</v>
      </c>
      <c r="AB29" s="68">
        <v>0.33</v>
      </c>
      <c r="AC29" s="68">
        <v>0</v>
      </c>
      <c r="AD29" s="68">
        <v>64</v>
      </c>
      <c r="AE29" s="68">
        <v>0</v>
      </c>
      <c r="AF29" s="68">
        <v>36</v>
      </c>
      <c r="AG29" s="68">
        <v>11</v>
      </c>
      <c r="AH29" s="68">
        <v>0</v>
      </c>
      <c r="AI29" s="87" t="s">
        <v>37</v>
      </c>
      <c r="AJ29" s="87" t="s">
        <v>156</v>
      </c>
      <c r="AK29" s="68">
        <v>0</v>
      </c>
      <c r="AL29" s="68">
        <v>29.95</v>
      </c>
    </row>
    <row r="30" spans="1:38" s="37" customFormat="1" x14ac:dyDescent="0.25">
      <c r="A30" s="84">
        <f>products_parts[[#This Row],[Total Price]]+ROW()*0.0001</f>
        <v>319.44299999999998</v>
      </c>
      <c r="B30" s="75">
        <f>products_parts[[#This Row],[cap_uf]]/1000000</f>
        <v>3.66</v>
      </c>
      <c r="C30" s="93">
        <f>products_parts[[#This Row],[Cap]]*products_parts[Total Parallel]/products_parts[Cells in Series]</f>
        <v>29.28</v>
      </c>
      <c r="D30" s="75">
        <f>PI()*((products_parts[[#This Row],[diameter]]/2)^2)*products_parts[[#This Row],[length]]/1000000</f>
        <v>0</v>
      </c>
      <c r="E30" s="75">
        <f>IF(products_parts[[#This Row],[Volume (L)]]=0,products_parts[[#This Row],[Height]]*products_parts[[#This Row],[length]]*products_parts[[#This Row],[Width Total]]/1000000,products_parts[[#This Row],[Volume (L)]])</f>
        <v>4.6452E-2</v>
      </c>
      <c r="F30" s="75">
        <f>products_parts[esr_dc]*products_parts[Cells in Series]/products_parts[Total Parallel]</f>
        <v>41.25</v>
      </c>
      <c r="G30" s="75">
        <f>IF(products_parts[[#This Row],[height2]]=0,products_parts[[#This Row],[length]]-products_parts[[#This Row],[lead_space_s]],products_parts[[#This Row],[height2]])</f>
        <v>42</v>
      </c>
      <c r="H30" s="85">
        <f>IF(products_parts[[#This Row],[thickness]]=0,IF(products_parts[[#This Row],[width]]=0,products_parts[[#This Row],[diameter]],products_parts[[#This Row],[width]]),products_parts[[#This Row],[thickness]])</f>
        <v>14</v>
      </c>
      <c r="I30" s="85">
        <f>IF(products_parts[[#This Row],[voltage]]=0,1000,ROUNDUP(WorkingV/products_parts[Operating Voltage (temp)],0))</f>
        <v>1</v>
      </c>
      <c r="J30" s="75">
        <f>ROUNDUP(Constant/(WorkingV-MinV)*((products_parts[esr_dc]/1000*products_parts[[#This Row],[Cap]])+Time)*products_parts[[#This Row],[Cells in Series]]/products_parts[[#This Row],[Cap]],0)</f>
        <v>8</v>
      </c>
      <c r="K30" s="78">
        <f>ROUNDUP(((Constant/WorkingV+Constant/MinV)/2)*(((products_parts[esr_dc]/1000*products_parts[Cap]))+Time)/(WorkingV-MinV)*(products_parts[[#This Row],[Cells in Series]]/products_parts[Cap]),0)</f>
        <v>1</v>
      </c>
      <c r="L30" s="79">
        <f>IF(Calculations!$J$2=1,products_parts[Cells in Parallel],products_parts[Parallel CP])</f>
        <v>8</v>
      </c>
      <c r="M30" s="75">
        <f>products_parts[[#This Row],[Cells in Series]]*products_parts[[#This Row],[Total Parallel]]</f>
        <v>8</v>
      </c>
      <c r="N30" s="76">
        <f>products_parts[[#This Row],[Price per Cell]]*products_parts[[#This Row],[Total '# of Caps]]</f>
        <v>319.44</v>
      </c>
      <c r="O30" s="77">
        <f>products_parts[[#This Row],[Calculated Volume]]*products_parts[[#This Row],[Total '# of Caps]]</f>
        <v>0.371616</v>
      </c>
      <c r="P30" s="77">
        <f>products_parts[[#This Row],[weight]]*products_parts[[#This Row],[Total '# of Caps]]</f>
        <v>0</v>
      </c>
      <c r="Q30" s="78" t="b">
        <f>AND(products_parts[[#This Row],[Height]]&gt;MIN(Calculations!$K$2,Calculations!$L$2),products_parts[[#This Row],[Height]]&lt;MAX(Calculations!$K$2,Calculations!$L$2))</f>
        <v>1</v>
      </c>
      <c r="R30" s="86">
        <f>IF(ISNUMBER(SEARCH("TPL",products_parts[[#This Row],[series]])),1,IF(products_parts[[#This Row],[series]]="PC",1,IF(ISNUMBER(SEARCH("PBL",products_parts[[#This Row],[series]])),2,2)))</f>
        <v>2</v>
      </c>
      <c r="S30" s="78" t="str">
        <f>IF(TempRange=2,IF(products_parts[[#This Row],[voltage2]]=0,"0","1"),"1")</f>
        <v>1</v>
      </c>
      <c r="T30" s="78">
        <f>IF(TempRange=1,products_parts[voltage],products_parts[voltage2])</f>
        <v>16.2</v>
      </c>
      <c r="U30" s="79" t="str">
        <f>IF(ISNUMBER(SEARCH("PBL ",products_parts[series])),"PBL",products_parts[series])</f>
        <v>PBLS</v>
      </c>
      <c r="V30" s="87" t="s">
        <v>84</v>
      </c>
      <c r="W30" s="87" t="s">
        <v>92</v>
      </c>
      <c r="X30" s="68">
        <v>16.2</v>
      </c>
      <c r="Y30" s="68">
        <v>0</v>
      </c>
      <c r="Z30" s="68">
        <v>3660000</v>
      </c>
      <c r="AA30" s="68">
        <v>330</v>
      </c>
      <c r="AB30" s="68">
        <v>1.41</v>
      </c>
      <c r="AC30" s="68">
        <v>0</v>
      </c>
      <c r="AD30" s="68">
        <v>79</v>
      </c>
      <c r="AE30" s="68">
        <v>0</v>
      </c>
      <c r="AF30" s="68">
        <v>42</v>
      </c>
      <c r="AG30" s="68">
        <v>14</v>
      </c>
      <c r="AH30" s="68">
        <v>0</v>
      </c>
      <c r="AI30" s="87" t="s">
        <v>37</v>
      </c>
      <c r="AJ30" s="87" t="s">
        <v>156</v>
      </c>
      <c r="AK30" s="68">
        <v>0</v>
      </c>
      <c r="AL30" s="68">
        <v>39.93</v>
      </c>
    </row>
    <row r="31" spans="1:38" s="37" customFormat="1" x14ac:dyDescent="0.25">
      <c r="A31" s="84">
        <f>products_parts[[#This Row],[Total Price]]+ROW()*0.0001</f>
        <v>307.44310000000002</v>
      </c>
      <c r="B31" s="75">
        <f>products_parts[[#This Row],[cap_uf]]/1000000</f>
        <v>4.66</v>
      </c>
      <c r="C31" s="93">
        <f>products_parts[[#This Row],[Cap]]*products_parts[Total Parallel]/products_parts[Cells in Series]</f>
        <v>32.620000000000005</v>
      </c>
      <c r="D31" s="75">
        <f>PI()*((products_parts[[#This Row],[diameter]]/2)^2)*products_parts[[#This Row],[length]]/1000000</f>
        <v>0</v>
      </c>
      <c r="E31" s="75">
        <f>IF(products_parts[[#This Row],[Volume (L)]]=0,products_parts[[#This Row],[Height]]*products_parts[[#This Row],[length]]*products_parts[[#This Row],[Width Total]]/1000000,products_parts[[#This Row],[Volume (L)]])</f>
        <v>5.0875999999999998E-2</v>
      </c>
      <c r="F31" s="75">
        <f>products_parts[esr_dc]*products_parts[Cells in Series]/products_parts[Total Parallel]</f>
        <v>41.142857142857146</v>
      </c>
      <c r="G31" s="75">
        <f>IF(products_parts[[#This Row],[height2]]=0,products_parts[[#This Row],[length]]-products_parts[[#This Row],[lead_space_s]],products_parts[[#This Row],[height2]])</f>
        <v>46</v>
      </c>
      <c r="H31" s="85">
        <f>IF(products_parts[[#This Row],[thickness]]=0,IF(products_parts[[#This Row],[width]]=0,products_parts[[#This Row],[diameter]],products_parts[[#This Row],[width]]),products_parts[[#This Row],[thickness]])</f>
        <v>14</v>
      </c>
      <c r="I31" s="85">
        <f>IF(products_parts[[#This Row],[voltage]]=0,1000,ROUNDUP(WorkingV/products_parts[Operating Voltage (temp)],0))</f>
        <v>1</v>
      </c>
      <c r="J31" s="75">
        <f>ROUNDUP(Constant/(WorkingV-MinV)*((products_parts[esr_dc]/1000*products_parts[[#This Row],[Cap]])+Time)*products_parts[[#This Row],[Cells in Series]]/products_parts[[#This Row],[Cap]],0)</f>
        <v>7</v>
      </c>
      <c r="K31" s="79">
        <f>ROUNDUP(((Constant/WorkingV+Constant/MinV)/2)*(((products_parts[esr_dc]/1000*products_parts[Cap]))+Time)/(WorkingV-MinV)*(products_parts[[#This Row],[Cells in Series]]/products_parts[Cap]),0)</f>
        <v>1</v>
      </c>
      <c r="L31" s="79">
        <f>IF(Calculations!$J$2=1,products_parts[Cells in Parallel],products_parts[Parallel CP])</f>
        <v>7</v>
      </c>
      <c r="M31" s="75">
        <f>products_parts[[#This Row],[Cells in Series]]*products_parts[[#This Row],[Total Parallel]]</f>
        <v>7</v>
      </c>
      <c r="N31" s="76">
        <f>products_parts[[#This Row],[Price per Cell]]*products_parts[[#This Row],[Total '# of Caps]]</f>
        <v>307.44</v>
      </c>
      <c r="O31" s="77">
        <f>products_parts[[#This Row],[Calculated Volume]]*products_parts[[#This Row],[Total '# of Caps]]</f>
        <v>0.356132</v>
      </c>
      <c r="P31" s="77">
        <f>products_parts[[#This Row],[weight]]*products_parts[[#This Row],[Total '# of Caps]]</f>
        <v>0</v>
      </c>
      <c r="Q31" s="78" t="b">
        <f>AND(products_parts[[#This Row],[Height]]&gt;MIN(Calculations!$K$2,Calculations!$L$2),products_parts[[#This Row],[Height]]&lt;MAX(Calculations!$K$2,Calculations!$L$2))</f>
        <v>1</v>
      </c>
      <c r="R31" s="86">
        <f>IF(ISNUMBER(SEARCH("TPL",products_parts[[#This Row],[series]])),1,IF(products_parts[[#This Row],[series]]="PC",1,IF(ISNUMBER(SEARCH("PBL",products_parts[[#This Row],[series]])),2,2)))</f>
        <v>2</v>
      </c>
      <c r="S31" s="86" t="str">
        <f>IF(TempRange=2,IF(products_parts[[#This Row],[voltage2]]=0,"0","1"),"1")</f>
        <v>1</v>
      </c>
      <c r="T31" s="78">
        <f>IF(TempRange=1,products_parts[voltage],products_parts[voltage2])</f>
        <v>16.2</v>
      </c>
      <c r="U31" s="79" t="str">
        <f>IF(ISNUMBER(SEARCH("PBL ",products_parts[series])),"PBL",products_parts[series])</f>
        <v>PBLS</v>
      </c>
      <c r="V31" s="87" t="s">
        <v>84</v>
      </c>
      <c r="W31" s="87" t="s">
        <v>96</v>
      </c>
      <c r="X31" s="68">
        <v>16.2</v>
      </c>
      <c r="Y31" s="68">
        <v>0</v>
      </c>
      <c r="Z31" s="68">
        <v>4660000</v>
      </c>
      <c r="AA31" s="68">
        <v>288</v>
      </c>
      <c r="AB31" s="68">
        <v>1.41</v>
      </c>
      <c r="AC31" s="68">
        <v>0</v>
      </c>
      <c r="AD31" s="68">
        <v>79</v>
      </c>
      <c r="AE31" s="68">
        <v>0</v>
      </c>
      <c r="AF31" s="68">
        <v>46</v>
      </c>
      <c r="AG31" s="68">
        <v>14</v>
      </c>
      <c r="AH31" s="68">
        <v>0</v>
      </c>
      <c r="AI31" s="87" t="s">
        <v>37</v>
      </c>
      <c r="AJ31" s="87" t="s">
        <v>156</v>
      </c>
      <c r="AK31" s="68">
        <v>0</v>
      </c>
      <c r="AL31" s="68">
        <v>43.92</v>
      </c>
    </row>
    <row r="32" spans="1:38" s="37" customFormat="1" x14ac:dyDescent="0.25">
      <c r="A32" s="84">
        <f>products_parts[[#This Row],[Total Price]]+ROW()*0.0001</f>
        <v>287.52319999999997</v>
      </c>
      <c r="B32" s="75">
        <f>products_parts[[#This Row],[cap_uf]]/1000000</f>
        <v>5.66</v>
      </c>
      <c r="C32" s="93">
        <f>products_parts[[#This Row],[Cap]]*products_parts[Total Parallel]/products_parts[Cells in Series]</f>
        <v>33.96</v>
      </c>
      <c r="D32" s="75">
        <f>PI()*((products_parts[[#This Row],[diameter]]/2)^2)*products_parts[[#This Row],[length]]/1000000</f>
        <v>0</v>
      </c>
      <c r="E32" s="75">
        <f>IF(products_parts[[#This Row],[Volume (L)]]=0,products_parts[[#This Row],[Height]]*products_parts[[#This Row],[length]]*products_parts[[#This Row],[Width Total]]/1000000,products_parts[[#This Row],[Volume (L)]])</f>
        <v>5.7512000000000001E-2</v>
      </c>
      <c r="F32" s="75">
        <f>products_parts[esr_dc]*products_parts[Cells in Series]/products_parts[Total Parallel]</f>
        <v>40</v>
      </c>
      <c r="G32" s="75">
        <f>IF(products_parts[[#This Row],[height2]]=0,products_parts[[#This Row],[length]]-products_parts[[#This Row],[lead_space_s]],products_parts[[#This Row],[height2]])</f>
        <v>52</v>
      </c>
      <c r="H32" s="85">
        <f>IF(products_parts[[#This Row],[thickness]]=0,IF(products_parts[[#This Row],[width]]=0,products_parts[[#This Row],[diameter]],products_parts[[#This Row],[width]]),products_parts[[#This Row],[thickness]])</f>
        <v>14</v>
      </c>
      <c r="I32" s="85">
        <f>IF(products_parts[[#This Row],[voltage]]=0,1000,ROUNDUP(WorkingV/products_parts[Operating Voltage (temp)],0))</f>
        <v>1</v>
      </c>
      <c r="J32" s="75">
        <f>ROUNDUP(Constant/(WorkingV-MinV)*((products_parts[esr_dc]/1000*products_parts[[#This Row],[Cap]])+Time)*products_parts[[#This Row],[Cells in Series]]/products_parts[[#This Row],[Cap]],0)</f>
        <v>6</v>
      </c>
      <c r="K32" s="78">
        <f>ROUNDUP(((Constant/WorkingV+Constant/MinV)/2)*(((products_parts[esr_dc]/1000*products_parts[Cap]))+Time)/(WorkingV-MinV)*(products_parts[[#This Row],[Cells in Series]]/products_parts[Cap]),0)</f>
        <v>1</v>
      </c>
      <c r="L32" s="79">
        <f>IF(Calculations!$J$2=1,products_parts[Cells in Parallel],products_parts[Parallel CP])</f>
        <v>6</v>
      </c>
      <c r="M32" s="75">
        <f>products_parts[[#This Row],[Cells in Series]]*products_parts[[#This Row],[Total Parallel]]</f>
        <v>6</v>
      </c>
      <c r="N32" s="76">
        <f>products_parts[[#This Row],[Price per Cell]]*products_parts[[#This Row],[Total '# of Caps]]</f>
        <v>287.52</v>
      </c>
      <c r="O32" s="77">
        <f>products_parts[[#This Row],[Calculated Volume]]*products_parts[[#This Row],[Total '# of Caps]]</f>
        <v>0.34507199999999999</v>
      </c>
      <c r="P32" s="77">
        <f>products_parts[[#This Row],[weight]]*products_parts[[#This Row],[Total '# of Caps]]</f>
        <v>0</v>
      </c>
      <c r="Q32" s="78" t="b">
        <f>AND(products_parts[[#This Row],[Height]]&gt;MIN(Calculations!$K$2,Calculations!$L$2),products_parts[[#This Row],[Height]]&lt;MAX(Calculations!$K$2,Calculations!$L$2))</f>
        <v>1</v>
      </c>
      <c r="R32" s="86">
        <f>IF(ISNUMBER(SEARCH("TPL",products_parts[[#This Row],[series]])),1,IF(products_parts[[#This Row],[series]]="PC",1,IF(ISNUMBER(SEARCH("PBL",products_parts[[#This Row],[series]])),2,2)))</f>
        <v>2</v>
      </c>
      <c r="S32" s="78" t="str">
        <f>IF(TempRange=2,IF(products_parts[[#This Row],[voltage2]]=0,"0","1"),"1")</f>
        <v>1</v>
      </c>
      <c r="T32" s="79">
        <f>IF(TempRange=1,products_parts[voltage],products_parts[voltage2])</f>
        <v>16.2</v>
      </c>
      <c r="U32" s="79" t="str">
        <f>IF(ISNUMBER(SEARCH("PBL ",products_parts[series])),"PBL",products_parts[series])</f>
        <v>PBLS</v>
      </c>
      <c r="V32" s="87" t="s">
        <v>84</v>
      </c>
      <c r="W32" s="87" t="s">
        <v>100</v>
      </c>
      <c r="X32" s="68">
        <v>16.2</v>
      </c>
      <c r="Y32" s="68">
        <v>0</v>
      </c>
      <c r="Z32" s="68">
        <v>5660000</v>
      </c>
      <c r="AA32" s="68">
        <v>240</v>
      </c>
      <c r="AB32" s="68">
        <v>1.42</v>
      </c>
      <c r="AC32" s="68">
        <v>0</v>
      </c>
      <c r="AD32" s="68">
        <v>79</v>
      </c>
      <c r="AE32" s="68">
        <v>0</v>
      </c>
      <c r="AF32" s="68">
        <v>52</v>
      </c>
      <c r="AG32" s="68">
        <v>14</v>
      </c>
      <c r="AH32" s="68">
        <v>0</v>
      </c>
      <c r="AI32" s="87" t="s">
        <v>37</v>
      </c>
      <c r="AJ32" s="87" t="s">
        <v>156</v>
      </c>
      <c r="AK32" s="68">
        <v>0</v>
      </c>
      <c r="AL32" s="68">
        <v>47.92</v>
      </c>
    </row>
    <row r="33" spans="1:45" s="37" customFormat="1" x14ac:dyDescent="0.25">
      <c r="A33" s="84">
        <f>products_parts[[#This Row],[Total Price]]+ROW()*0.0001</f>
        <v>259.55329999999998</v>
      </c>
      <c r="B33" s="75">
        <f>products_parts[[#This Row],[cap_uf]]/1000000</f>
        <v>6.66</v>
      </c>
      <c r="C33" s="93">
        <f>products_parts[[#This Row],[Cap]]*products_parts[Total Parallel]/products_parts[Cells in Series]</f>
        <v>33.299999999999997</v>
      </c>
      <c r="D33" s="75">
        <f>PI()*((products_parts[[#This Row],[diameter]]/2)^2)*products_parts[[#This Row],[length]]/1000000</f>
        <v>0</v>
      </c>
      <c r="E33" s="75">
        <f>IF(products_parts[[#This Row],[Volume (L)]]=0,products_parts[[#This Row],[Height]]*products_parts[[#This Row],[length]]*products_parts[[#This Row],[Width Total]]/1000000,products_parts[[#This Row],[Volume (L)]])</f>
        <v>5.7512000000000001E-2</v>
      </c>
      <c r="F33" s="75">
        <f>products_parts[esr_dc]*products_parts[Cells in Series]/products_parts[Total Parallel]</f>
        <v>42</v>
      </c>
      <c r="G33" s="75">
        <f>IF(products_parts[[#This Row],[height2]]=0,products_parts[[#This Row],[length]]-products_parts[[#This Row],[lead_space_s]],products_parts[[#This Row],[height2]])</f>
        <v>52</v>
      </c>
      <c r="H33" s="85">
        <f>IF(products_parts[[#This Row],[thickness]]=0,IF(products_parts[[#This Row],[width]]=0,products_parts[[#This Row],[diameter]],products_parts[[#This Row],[width]]),products_parts[[#This Row],[thickness]])</f>
        <v>14</v>
      </c>
      <c r="I33" s="85">
        <f>IF(products_parts[[#This Row],[voltage]]=0,1000,ROUNDUP(WorkingV/products_parts[Operating Voltage (temp)],0))</f>
        <v>1</v>
      </c>
      <c r="J33" s="75">
        <f>ROUNDUP(Constant/(WorkingV-MinV)*((products_parts[esr_dc]/1000*products_parts[[#This Row],[Cap]])+Time)*products_parts[[#This Row],[Cells in Series]]/products_parts[[#This Row],[Cap]],0)</f>
        <v>5</v>
      </c>
      <c r="K33" s="79">
        <f>ROUNDUP(((Constant/WorkingV+Constant/MinV)/2)*(((products_parts[esr_dc]/1000*products_parts[Cap]))+Time)/(WorkingV-MinV)*(products_parts[[#This Row],[Cells in Series]]/products_parts[Cap]),0)</f>
        <v>1</v>
      </c>
      <c r="L33" s="79">
        <f>IF(Calculations!$J$2=1,products_parts[Cells in Parallel],products_parts[Parallel CP])</f>
        <v>5</v>
      </c>
      <c r="M33" s="75">
        <f>products_parts[[#This Row],[Cells in Series]]*products_parts[[#This Row],[Total Parallel]]</f>
        <v>5</v>
      </c>
      <c r="N33" s="76">
        <f>products_parts[[#This Row],[Price per Cell]]*products_parts[[#This Row],[Total '# of Caps]]</f>
        <v>259.54999999999995</v>
      </c>
      <c r="O33" s="77">
        <f>products_parts[[#This Row],[Calculated Volume]]*products_parts[[#This Row],[Total '# of Caps]]</f>
        <v>0.28755999999999998</v>
      </c>
      <c r="P33" s="77">
        <f>products_parts[[#This Row],[weight]]*products_parts[[#This Row],[Total '# of Caps]]</f>
        <v>0</v>
      </c>
      <c r="Q33" s="78" t="b">
        <f>AND(products_parts[[#This Row],[Height]]&gt;MIN(Calculations!$K$2,Calculations!$L$2),products_parts[[#This Row],[Height]]&lt;MAX(Calculations!$K$2,Calculations!$L$2))</f>
        <v>1</v>
      </c>
      <c r="R33" s="86">
        <f>IF(ISNUMBER(SEARCH("TPL",products_parts[[#This Row],[series]])),1,IF(products_parts[[#This Row],[series]]="PC",1,IF(ISNUMBER(SEARCH("PBL",products_parts[[#This Row],[series]])),2,2)))</f>
        <v>2</v>
      </c>
      <c r="S33" s="86" t="str">
        <f>IF(TempRange=2,IF(products_parts[[#This Row],[voltage2]]=0,"0","1"),"1")</f>
        <v>1</v>
      </c>
      <c r="T33" s="78">
        <f>IF(TempRange=1,products_parts[voltage],products_parts[voltage2])</f>
        <v>16.2</v>
      </c>
      <c r="U33" s="79" t="str">
        <f>IF(ISNUMBER(SEARCH("PBL ",products_parts[series])),"PBL",products_parts[series])</f>
        <v>PBLS</v>
      </c>
      <c r="V33" s="87" t="s">
        <v>84</v>
      </c>
      <c r="W33" s="87" t="s">
        <v>104</v>
      </c>
      <c r="X33" s="68">
        <v>16.2</v>
      </c>
      <c r="Y33" s="68">
        <v>0</v>
      </c>
      <c r="Z33" s="68">
        <v>6660000</v>
      </c>
      <c r="AA33" s="68">
        <v>210</v>
      </c>
      <c r="AB33" s="68">
        <v>1.43</v>
      </c>
      <c r="AC33" s="68">
        <v>0</v>
      </c>
      <c r="AD33" s="68">
        <v>79</v>
      </c>
      <c r="AE33" s="68">
        <v>0</v>
      </c>
      <c r="AF33" s="68">
        <v>52</v>
      </c>
      <c r="AG33" s="68">
        <v>14</v>
      </c>
      <c r="AH33" s="68">
        <v>0</v>
      </c>
      <c r="AI33" s="87" t="s">
        <v>37</v>
      </c>
      <c r="AJ33" s="87" t="s">
        <v>156</v>
      </c>
      <c r="AK33" s="68">
        <v>0</v>
      </c>
      <c r="AL33" s="68">
        <v>51.91</v>
      </c>
    </row>
    <row r="34" spans="1:45" s="37" customFormat="1" x14ac:dyDescent="0.25">
      <c r="A34" s="84">
        <f>products_parts[[#This Row],[Total Price]]+ROW()*0.0001</f>
        <v>223.60339999999999</v>
      </c>
      <c r="B34" s="75">
        <f>products_parts[[#This Row],[cap_uf]]/1000000</f>
        <v>7.5</v>
      </c>
      <c r="C34" s="93">
        <f>products_parts[[#This Row],[Cap]]*products_parts[Total Parallel]/products_parts[Cells in Series]</f>
        <v>30</v>
      </c>
      <c r="D34" s="75">
        <f>PI()*((products_parts[[#This Row],[diameter]]/2)^2)*products_parts[[#This Row],[length]]/1000000</f>
        <v>0</v>
      </c>
      <c r="E34" s="75">
        <f>IF(products_parts[[#This Row],[Volume (L)]]=0,products_parts[[#This Row],[Height]]*products_parts[[#This Row],[length]]*products_parts[[#This Row],[Width Total]]/1000000,products_parts[[#This Row],[Volume (L)]])</f>
        <v>6.7465999999999998E-2</v>
      </c>
      <c r="F34" s="75">
        <f>products_parts[esr_dc]*products_parts[Cells in Series]/products_parts[Total Parallel]</f>
        <v>48</v>
      </c>
      <c r="G34" s="75">
        <f>IF(products_parts[[#This Row],[height2]]=0,products_parts[[#This Row],[length]]-products_parts[[#This Row],[lead_space_s]],products_parts[[#This Row],[height2]])</f>
        <v>61</v>
      </c>
      <c r="H34" s="85">
        <f>IF(products_parts[[#This Row],[thickness]]=0,IF(products_parts[[#This Row],[width]]=0,products_parts[[#This Row],[diameter]],products_parts[[#This Row],[width]]),products_parts[[#This Row],[thickness]])</f>
        <v>14</v>
      </c>
      <c r="I34" s="85">
        <f>IF(products_parts[[#This Row],[voltage]]=0,1000,ROUNDUP(WorkingV/products_parts[Operating Voltage (temp)],0))</f>
        <v>1</v>
      </c>
      <c r="J34" s="75">
        <f>ROUNDUP(Constant/(WorkingV-MinV)*((products_parts[esr_dc]/1000*products_parts[[#This Row],[Cap]])+Time)*products_parts[[#This Row],[Cells in Series]]/products_parts[[#This Row],[Cap]],0)</f>
        <v>4</v>
      </c>
      <c r="K34" s="79">
        <f>ROUNDUP(((Constant/WorkingV+Constant/MinV)/2)*(((products_parts[esr_dc]/1000*products_parts[Cap]))+Time)/(WorkingV-MinV)*(products_parts[[#This Row],[Cells in Series]]/products_parts[Cap]),0)</f>
        <v>1</v>
      </c>
      <c r="L34" s="79">
        <f>IF(Calculations!$J$2=1,products_parts[Cells in Parallel],products_parts[Parallel CP])</f>
        <v>4</v>
      </c>
      <c r="M34" s="75">
        <f>products_parts[[#This Row],[Cells in Series]]*products_parts[[#This Row],[Total Parallel]]</f>
        <v>4</v>
      </c>
      <c r="N34" s="76">
        <f>products_parts[[#This Row],[Price per Cell]]*products_parts[[#This Row],[Total '# of Caps]]</f>
        <v>223.6</v>
      </c>
      <c r="O34" s="77">
        <f>products_parts[[#This Row],[Calculated Volume]]*products_parts[[#This Row],[Total '# of Caps]]</f>
        <v>0.26986399999999999</v>
      </c>
      <c r="P34" s="77">
        <f>products_parts[[#This Row],[weight]]*products_parts[[#This Row],[Total '# of Caps]]</f>
        <v>0</v>
      </c>
      <c r="Q34" s="78" t="b">
        <f>AND(products_parts[[#This Row],[Height]]&gt;MIN(Calculations!$K$2,Calculations!$L$2),products_parts[[#This Row],[Height]]&lt;MAX(Calculations!$K$2,Calculations!$L$2))</f>
        <v>1</v>
      </c>
      <c r="R34" s="86">
        <f>IF(ISNUMBER(SEARCH("TPL",products_parts[[#This Row],[series]])),1,IF(products_parts[[#This Row],[series]]="PC",1,IF(ISNUMBER(SEARCH("PBL",products_parts[[#This Row],[series]])),2,2)))</f>
        <v>2</v>
      </c>
      <c r="S34" s="86" t="str">
        <f>IF(TempRange=2,IF(products_parts[[#This Row],[voltage2]]=0,"0","1"),"1")</f>
        <v>1</v>
      </c>
      <c r="T34" s="78">
        <f>IF(TempRange=1,products_parts[voltage],products_parts[voltage2])</f>
        <v>16.2</v>
      </c>
      <c r="U34" s="79" t="str">
        <f>IF(ISNUMBER(SEARCH("PBL ",products_parts[series])),"PBL",products_parts[series])</f>
        <v>PBLS</v>
      </c>
      <c r="V34" s="87" t="s">
        <v>84</v>
      </c>
      <c r="W34" s="87" t="s">
        <v>108</v>
      </c>
      <c r="X34" s="68">
        <v>16.2</v>
      </c>
      <c r="Y34" s="68">
        <v>0</v>
      </c>
      <c r="Z34" s="68">
        <v>7500000</v>
      </c>
      <c r="AA34" s="68">
        <v>192</v>
      </c>
      <c r="AB34" s="68">
        <v>1.45</v>
      </c>
      <c r="AC34" s="68">
        <v>0</v>
      </c>
      <c r="AD34" s="68">
        <v>79</v>
      </c>
      <c r="AE34" s="68">
        <v>0</v>
      </c>
      <c r="AF34" s="68">
        <v>61</v>
      </c>
      <c r="AG34" s="68">
        <v>14</v>
      </c>
      <c r="AH34" s="68">
        <v>0</v>
      </c>
      <c r="AI34" s="87" t="s">
        <v>37</v>
      </c>
      <c r="AJ34" s="87" t="s">
        <v>156</v>
      </c>
      <c r="AK34" s="68">
        <v>0</v>
      </c>
      <c r="AL34" s="68">
        <v>55.9</v>
      </c>
    </row>
    <row r="35" spans="1:45" s="37" customFormat="1" x14ac:dyDescent="0.25">
      <c r="A35" s="84">
        <f>products_parts[[#This Row],[Total Price]]+ROW()*0.0001</f>
        <v>239.6035</v>
      </c>
      <c r="B35" s="75">
        <f>products_parts[[#This Row],[cap_uf]]/1000000</f>
        <v>8.33</v>
      </c>
      <c r="C35" s="93">
        <f>products_parts[[#This Row],[Cap]]*products_parts[Total Parallel]/products_parts[Cells in Series]</f>
        <v>33.32</v>
      </c>
      <c r="D35" s="75">
        <f>PI()*((products_parts[[#This Row],[diameter]]/2)^2)*products_parts[[#This Row],[length]]/1000000</f>
        <v>0</v>
      </c>
      <c r="E35" s="75">
        <f>IF(products_parts[[#This Row],[Volume (L)]]=0,products_parts[[#This Row],[Height]]*products_parts[[#This Row],[length]]*products_parts[[#This Row],[Width Total]]/1000000,products_parts[[#This Row],[Volume (L)]])</f>
        <v>7.2996000000000005E-2</v>
      </c>
      <c r="F35" s="75">
        <f>products_parts[esr_dc]*products_parts[Cells in Series]/products_parts[Total Parallel]</f>
        <v>45</v>
      </c>
      <c r="G35" s="75">
        <f>IF(products_parts[[#This Row],[height2]]=0,products_parts[[#This Row],[length]]-products_parts[[#This Row],[lead_space_s]],products_parts[[#This Row],[height2]])</f>
        <v>66</v>
      </c>
      <c r="H35" s="85">
        <f>IF(products_parts[[#This Row],[thickness]]=0,IF(products_parts[[#This Row],[width]]=0,products_parts[[#This Row],[diameter]],products_parts[[#This Row],[width]]),products_parts[[#This Row],[thickness]])</f>
        <v>14</v>
      </c>
      <c r="I35" s="85">
        <f>IF(products_parts[[#This Row],[voltage]]=0,1000,ROUNDUP(WorkingV/products_parts[Operating Voltage (temp)],0))</f>
        <v>1</v>
      </c>
      <c r="J35" s="75">
        <f>ROUNDUP(Constant/(WorkingV-MinV)*((products_parts[esr_dc]/1000*products_parts[[#This Row],[Cap]])+Time)*products_parts[[#This Row],[Cells in Series]]/products_parts[[#This Row],[Cap]],0)</f>
        <v>4</v>
      </c>
      <c r="K35" s="78">
        <f>ROUNDUP(((Constant/WorkingV+Constant/MinV)/2)*(((products_parts[esr_dc]/1000*products_parts[Cap]))+Time)/(WorkingV-MinV)*(products_parts[[#This Row],[Cells in Series]]/products_parts[Cap]),0)</f>
        <v>1</v>
      </c>
      <c r="L35" s="79">
        <f>IF(Calculations!$J$2=1,products_parts[Cells in Parallel],products_parts[Parallel CP])</f>
        <v>4</v>
      </c>
      <c r="M35" s="75">
        <f>products_parts[[#This Row],[Cells in Series]]*products_parts[[#This Row],[Total Parallel]]</f>
        <v>4</v>
      </c>
      <c r="N35" s="76">
        <f>products_parts[[#This Row],[Price per Cell]]*products_parts[[#This Row],[Total '# of Caps]]</f>
        <v>239.6</v>
      </c>
      <c r="O35" s="77">
        <f>products_parts[[#This Row],[Calculated Volume]]*products_parts[[#This Row],[Total '# of Caps]]</f>
        <v>0.29198400000000002</v>
      </c>
      <c r="P35" s="77">
        <f>products_parts[[#This Row],[weight]]*products_parts[[#This Row],[Total '# of Caps]]</f>
        <v>0</v>
      </c>
      <c r="Q35" s="78" t="b">
        <f>AND(products_parts[[#This Row],[Height]]&gt;MIN(Calculations!$K$2,Calculations!$L$2),products_parts[[#This Row],[Height]]&lt;MAX(Calculations!$K$2,Calculations!$L$2))</f>
        <v>1</v>
      </c>
      <c r="R35" s="86">
        <f>IF(ISNUMBER(SEARCH("TPL",products_parts[[#This Row],[series]])),1,IF(products_parts[[#This Row],[series]]="PC",1,IF(ISNUMBER(SEARCH("PBL",products_parts[[#This Row],[series]])),2,2)))</f>
        <v>2</v>
      </c>
      <c r="S35" s="86" t="str">
        <f>IF(TempRange=2,IF(products_parts[[#This Row],[voltage2]]=0,"0","1"),"1")</f>
        <v>1</v>
      </c>
      <c r="T35" s="79">
        <f>IF(TempRange=1,products_parts[voltage],products_parts[voltage2])</f>
        <v>16.2</v>
      </c>
      <c r="U35" s="79" t="str">
        <f>IF(ISNUMBER(SEARCH("PBL ",products_parts[series])),"PBL",products_parts[series])</f>
        <v>PBLS</v>
      </c>
      <c r="V35" s="87" t="s">
        <v>84</v>
      </c>
      <c r="W35" s="87" t="s">
        <v>112</v>
      </c>
      <c r="X35" s="68">
        <v>16.2</v>
      </c>
      <c r="Y35" s="68">
        <v>0</v>
      </c>
      <c r="Z35" s="68">
        <v>8330000</v>
      </c>
      <c r="AA35" s="68">
        <v>180</v>
      </c>
      <c r="AB35" s="68">
        <v>1.48</v>
      </c>
      <c r="AC35" s="68">
        <v>0</v>
      </c>
      <c r="AD35" s="68">
        <v>79</v>
      </c>
      <c r="AE35" s="68">
        <v>0</v>
      </c>
      <c r="AF35" s="68">
        <v>66</v>
      </c>
      <c r="AG35" s="68">
        <v>14</v>
      </c>
      <c r="AH35" s="68">
        <v>0</v>
      </c>
      <c r="AI35" s="87" t="s">
        <v>37</v>
      </c>
      <c r="AJ35" s="87" t="s">
        <v>156</v>
      </c>
      <c r="AK35" s="68">
        <v>0</v>
      </c>
      <c r="AL35" s="68">
        <v>59.9</v>
      </c>
    </row>
    <row r="36" spans="1:45" s="37" customFormat="1" x14ac:dyDescent="0.25">
      <c r="A36" s="84">
        <f>products_parts[[#This Row],[Total Price]]+ROW()*0.0001</f>
        <v>381.22360000000003</v>
      </c>
      <c r="B36" s="75">
        <f>products_parts[[#This Row],[cap_uf]]/1000000</f>
        <v>2</v>
      </c>
      <c r="C36" s="93">
        <f>products_parts[[#This Row],[Cap]]*products_parts[Total Parallel]/products_parts[Cells in Series]</f>
        <v>28</v>
      </c>
      <c r="D36" s="75">
        <f>PI()*((products_parts[[#This Row],[diameter]]/2)^2)*products_parts[[#This Row],[length]]/1000000</f>
        <v>0</v>
      </c>
      <c r="E36" s="75">
        <f>IF(products_parts[[#This Row],[Volume (L)]]=0,products_parts[[#This Row],[Height]]*products_parts[[#This Row],[length]]*products_parts[[#This Row],[Width Total]]/1000000,products_parts[[#This Row],[Volume (L)]])</f>
        <v>2.0988E-2</v>
      </c>
      <c r="F36" s="75">
        <f>products_parts[esr_dc]*products_parts[Cells in Series]/products_parts[Total Parallel]</f>
        <v>34.642857142857146</v>
      </c>
      <c r="G36" s="75">
        <f>IF(products_parts[[#This Row],[height2]]=0,products_parts[[#This Row],[length]]-products_parts[[#This Row],[lead_space_s]],products_parts[[#This Row],[height2]])</f>
        <v>36</v>
      </c>
      <c r="H36" s="85">
        <f>IF(products_parts[[#This Row],[thickness]]=0,IF(products_parts[[#This Row],[width]]=0,products_parts[[#This Row],[diameter]],products_parts[[#This Row],[width]]),products_parts[[#This Row],[thickness]])</f>
        <v>11</v>
      </c>
      <c r="I36" s="85">
        <f>IF(products_parts[[#This Row],[voltage]]=0,1000,ROUNDUP(WorkingV/products_parts[Operating Voltage (temp)],0))</f>
        <v>1</v>
      </c>
      <c r="J36" s="75">
        <f>ROUNDUP(Constant/(WorkingV-MinV)*((products_parts[esr_dc]/1000*products_parts[[#This Row],[Cap]])+Time)*products_parts[[#This Row],[Cells in Series]]/products_parts[[#This Row],[Cap]],0)</f>
        <v>14</v>
      </c>
      <c r="K36" s="78">
        <f>ROUNDUP(((Constant/WorkingV+Constant/MinV)/2)*(((products_parts[esr_dc]/1000*products_parts[Cap]))+Time)/(WorkingV-MinV)*(products_parts[[#This Row],[Cells in Series]]/products_parts[Cap]),0)</f>
        <v>2</v>
      </c>
      <c r="L36" s="79">
        <f>IF(Calculations!$J$2=1,products_parts[Cells in Parallel],products_parts[Parallel CP])</f>
        <v>14</v>
      </c>
      <c r="M36" s="75">
        <f>products_parts[[#This Row],[Cells in Series]]*products_parts[[#This Row],[Total Parallel]]</f>
        <v>14</v>
      </c>
      <c r="N36" s="76">
        <f>products_parts[[#This Row],[Price per Cell]]*products_parts[[#This Row],[Total '# of Caps]]</f>
        <v>381.22</v>
      </c>
      <c r="O36" s="77">
        <f>products_parts[[#This Row],[Calculated Volume]]*products_parts[[#This Row],[Total '# of Caps]]</f>
        <v>0.29383199999999998</v>
      </c>
      <c r="P36" s="77">
        <f>products_parts[[#This Row],[weight]]*products_parts[[#This Row],[Total '# of Caps]]</f>
        <v>0</v>
      </c>
      <c r="Q36" s="78" t="b">
        <f>AND(products_parts[[#This Row],[Height]]&gt;MIN(Calculations!$K$2,Calculations!$L$2),products_parts[[#This Row],[Height]]&lt;MAX(Calculations!$K$2,Calculations!$L$2))</f>
        <v>1</v>
      </c>
      <c r="R36" s="86">
        <f>IF(ISNUMBER(SEARCH("TPL",products_parts[[#This Row],[series]])),1,IF(products_parts[[#This Row],[series]]="PC",1,IF(ISNUMBER(SEARCH("PBL",products_parts[[#This Row],[series]])),2,2)))</f>
        <v>2</v>
      </c>
      <c r="S36" s="78" t="str">
        <f>IF(TempRange=2,IF(products_parts[[#This Row],[voltage2]]=0,"0","1"),"1")</f>
        <v>1</v>
      </c>
      <c r="T36" s="78">
        <f>IF(TempRange=1,products_parts[voltage],products_parts[voltage2])</f>
        <v>13.5</v>
      </c>
      <c r="U36" s="79" t="str">
        <f>IF(ISNUMBER(SEARCH("PBL ",products_parts[series])),"PBL",products_parts[series])</f>
        <v>PBLS</v>
      </c>
      <c r="V36" s="87" t="s">
        <v>84</v>
      </c>
      <c r="W36" s="87" t="s">
        <v>87</v>
      </c>
      <c r="X36" s="68">
        <v>13.5</v>
      </c>
      <c r="Y36" s="68">
        <v>0</v>
      </c>
      <c r="Z36" s="68">
        <v>2000000</v>
      </c>
      <c r="AA36" s="68">
        <v>485</v>
      </c>
      <c r="AB36" s="68">
        <v>0.33</v>
      </c>
      <c r="AC36" s="68">
        <v>0</v>
      </c>
      <c r="AD36" s="68">
        <v>53</v>
      </c>
      <c r="AE36" s="68">
        <v>0</v>
      </c>
      <c r="AF36" s="68">
        <v>36</v>
      </c>
      <c r="AG36" s="68">
        <v>11</v>
      </c>
      <c r="AH36" s="68">
        <v>0</v>
      </c>
      <c r="AI36" s="87" t="s">
        <v>37</v>
      </c>
      <c r="AJ36" s="87" t="s">
        <v>156</v>
      </c>
      <c r="AK36" s="68">
        <v>0</v>
      </c>
      <c r="AL36" s="68">
        <v>27.23</v>
      </c>
    </row>
    <row r="37" spans="1:45" s="37" customFormat="1" x14ac:dyDescent="0.25">
      <c r="A37" s="84">
        <f>products_parts[[#This Row],[Total Price]]+ROW()*0.0001</f>
        <v>254.10369999999998</v>
      </c>
      <c r="B37" s="75">
        <f>products_parts[[#This Row],[cap_uf]]/1000000</f>
        <v>4.4000000000000004</v>
      </c>
      <c r="C37" s="93">
        <f>products_parts[[#This Row],[Cap]]*products_parts[Total Parallel]/products_parts[Cells in Series]</f>
        <v>30.800000000000004</v>
      </c>
      <c r="D37" s="75">
        <f>PI()*((products_parts[[#This Row],[diameter]]/2)^2)*products_parts[[#This Row],[length]]/1000000</f>
        <v>0</v>
      </c>
      <c r="E37" s="75">
        <f>IF(products_parts[[#This Row],[Volume (L)]]=0,products_parts[[#This Row],[Height]]*products_parts[[#This Row],[length]]*products_parts[[#This Row],[Width Total]]/1000000,products_parts[[#This Row],[Volume (L)]])</f>
        <v>3.8808000000000002E-2</v>
      </c>
      <c r="F37" s="75">
        <f>products_parts[esr_dc]*products_parts[Cells in Series]/products_parts[Total Parallel]</f>
        <v>40.714285714285715</v>
      </c>
      <c r="G37" s="75">
        <f>IF(products_parts[[#This Row],[height2]]=0,products_parts[[#This Row],[length]]-products_parts[[#This Row],[lead_space_s]],products_parts[[#This Row],[height2]])</f>
        <v>42</v>
      </c>
      <c r="H37" s="85">
        <f>IF(products_parts[[#This Row],[thickness]]=0,IF(products_parts[[#This Row],[width]]=0,products_parts[[#This Row],[diameter]],products_parts[[#This Row],[width]]),products_parts[[#This Row],[thickness]])</f>
        <v>14</v>
      </c>
      <c r="I37" s="85">
        <f>IF(products_parts[[#This Row],[voltage]]=0,1000,ROUNDUP(WorkingV/products_parts[Operating Voltage (temp)],0))</f>
        <v>1</v>
      </c>
      <c r="J37" s="75">
        <f>ROUNDUP(Constant/(WorkingV-MinV)*((products_parts[esr_dc]/1000*products_parts[[#This Row],[Cap]])+Time)*products_parts[[#This Row],[Cells in Series]]/products_parts[[#This Row],[Cap]],0)</f>
        <v>7</v>
      </c>
      <c r="K37" s="78">
        <f>ROUNDUP(((Constant/WorkingV+Constant/MinV)/2)*(((products_parts[esr_dc]/1000*products_parts[Cap]))+Time)/(WorkingV-MinV)*(products_parts[[#This Row],[Cells in Series]]/products_parts[Cap]),0)</f>
        <v>1</v>
      </c>
      <c r="L37" s="79">
        <f>IF(Calculations!$J$2=1,products_parts[Cells in Parallel],products_parts[Parallel CP])</f>
        <v>7</v>
      </c>
      <c r="M37" s="75">
        <f>products_parts[[#This Row],[Cells in Series]]*products_parts[[#This Row],[Total Parallel]]</f>
        <v>7</v>
      </c>
      <c r="N37" s="76">
        <f>products_parts[[#This Row],[Price per Cell]]*products_parts[[#This Row],[Total '# of Caps]]</f>
        <v>254.09999999999997</v>
      </c>
      <c r="O37" s="77">
        <f>products_parts[[#This Row],[Calculated Volume]]*products_parts[[#This Row],[Total '# of Caps]]</f>
        <v>0.27165600000000001</v>
      </c>
      <c r="P37" s="77">
        <f>products_parts[[#This Row],[weight]]*products_parts[[#This Row],[Total '# of Caps]]</f>
        <v>0</v>
      </c>
      <c r="Q37" s="78" t="b">
        <f>AND(products_parts[[#This Row],[Height]]&gt;MIN(Calculations!$K$2,Calculations!$L$2),products_parts[[#This Row],[Height]]&lt;MAX(Calculations!$K$2,Calculations!$L$2))</f>
        <v>1</v>
      </c>
      <c r="R37" s="86">
        <f>IF(ISNUMBER(SEARCH("TPL",products_parts[[#This Row],[series]])),1,IF(products_parts[[#This Row],[series]]="PC",1,IF(ISNUMBER(SEARCH("PBL",products_parts[[#This Row],[series]])),2,2)))</f>
        <v>2</v>
      </c>
      <c r="S37" s="78" t="str">
        <f>IF(TempRange=2,IF(products_parts[[#This Row],[voltage2]]=0,"0","1"),"1")</f>
        <v>1</v>
      </c>
      <c r="T37" s="78">
        <f>IF(TempRange=1,products_parts[voltage],products_parts[voltage2])</f>
        <v>13.5</v>
      </c>
      <c r="U37" s="79" t="str">
        <f>IF(ISNUMBER(SEARCH("PBL ",products_parts[series])),"PBL",products_parts[series])</f>
        <v>PBLS</v>
      </c>
      <c r="V37" s="87" t="s">
        <v>84</v>
      </c>
      <c r="W37" s="87" t="s">
        <v>91</v>
      </c>
      <c r="X37" s="68">
        <v>13.5</v>
      </c>
      <c r="Y37" s="68">
        <v>0</v>
      </c>
      <c r="Z37" s="68">
        <v>4400000</v>
      </c>
      <c r="AA37" s="68">
        <v>285</v>
      </c>
      <c r="AB37" s="68">
        <v>1.41</v>
      </c>
      <c r="AC37" s="68">
        <v>0</v>
      </c>
      <c r="AD37" s="68">
        <v>66</v>
      </c>
      <c r="AE37" s="68">
        <v>0</v>
      </c>
      <c r="AF37" s="68">
        <v>42</v>
      </c>
      <c r="AG37" s="68">
        <v>14</v>
      </c>
      <c r="AH37" s="68">
        <v>0</v>
      </c>
      <c r="AI37" s="87" t="s">
        <v>37</v>
      </c>
      <c r="AJ37" s="87" t="s">
        <v>156</v>
      </c>
      <c r="AK37" s="68">
        <v>0</v>
      </c>
      <c r="AL37" s="68">
        <v>36.299999999999997</v>
      </c>
    </row>
    <row r="38" spans="1:45" s="37" customFormat="1" x14ac:dyDescent="0.25">
      <c r="A38" s="84">
        <f>products_parts[[#This Row],[Total Price]]+ROW()*0.0001</f>
        <v>239.5838</v>
      </c>
      <c r="B38" s="75">
        <f>products_parts[[#This Row],[cap_uf]]/1000000</f>
        <v>5.6</v>
      </c>
      <c r="C38" s="93">
        <f>products_parts[[#This Row],[Cap]]*products_parts[Total Parallel]/products_parts[Cells in Series]</f>
        <v>33.599999999999994</v>
      </c>
      <c r="D38" s="75">
        <f>PI()*((products_parts[[#This Row],[diameter]]/2)^2)*products_parts[[#This Row],[length]]/1000000</f>
        <v>0</v>
      </c>
      <c r="E38" s="75">
        <f>IF(products_parts[[#This Row],[Volume (L)]]=0,products_parts[[#This Row],[Height]]*products_parts[[#This Row],[length]]*products_parts[[#This Row],[Width Total]]/1000000,products_parts[[#This Row],[Volume (L)]])</f>
        <v>4.2504E-2</v>
      </c>
      <c r="F38" s="75">
        <f>products_parts[esr_dc]*products_parts[Cells in Series]/products_parts[Total Parallel]</f>
        <v>41.666666666666664</v>
      </c>
      <c r="G38" s="75">
        <f>IF(products_parts[[#This Row],[height2]]=0,products_parts[[#This Row],[length]]-products_parts[[#This Row],[lead_space_s]],products_parts[[#This Row],[height2]])</f>
        <v>46</v>
      </c>
      <c r="H38" s="85">
        <f>IF(products_parts[[#This Row],[thickness]]=0,IF(products_parts[[#This Row],[width]]=0,products_parts[[#This Row],[diameter]],products_parts[[#This Row],[width]]),products_parts[[#This Row],[thickness]])</f>
        <v>14</v>
      </c>
      <c r="I38" s="85">
        <f>IF(products_parts[[#This Row],[voltage]]=0,1000,ROUNDUP(WorkingV/products_parts[Operating Voltage (temp)],0))</f>
        <v>1</v>
      </c>
      <c r="J38" s="75">
        <f>ROUNDUP(Constant/(WorkingV-MinV)*((products_parts[esr_dc]/1000*products_parts[[#This Row],[Cap]])+Time)*products_parts[[#This Row],[Cells in Series]]/products_parts[[#This Row],[Cap]],0)</f>
        <v>6</v>
      </c>
      <c r="K38" s="79">
        <f>ROUNDUP(((Constant/WorkingV+Constant/MinV)/2)*(((products_parts[esr_dc]/1000*products_parts[Cap]))+Time)/(WorkingV-MinV)*(products_parts[[#This Row],[Cells in Series]]/products_parts[Cap]),0)</f>
        <v>1</v>
      </c>
      <c r="L38" s="79">
        <f>IF(Calculations!$J$2=1,products_parts[Cells in Parallel],products_parts[Parallel CP])</f>
        <v>6</v>
      </c>
      <c r="M38" s="75">
        <f>products_parts[[#This Row],[Cells in Series]]*products_parts[[#This Row],[Total Parallel]]</f>
        <v>6</v>
      </c>
      <c r="N38" s="76">
        <f>products_parts[[#This Row],[Price per Cell]]*products_parts[[#This Row],[Total '# of Caps]]</f>
        <v>239.57999999999998</v>
      </c>
      <c r="O38" s="77">
        <f>products_parts[[#This Row],[Calculated Volume]]*products_parts[[#This Row],[Total '# of Caps]]</f>
        <v>0.25502400000000003</v>
      </c>
      <c r="P38" s="77">
        <f>products_parts[[#This Row],[weight]]*products_parts[[#This Row],[Total '# of Caps]]</f>
        <v>0</v>
      </c>
      <c r="Q38" s="78" t="b">
        <f>AND(products_parts[[#This Row],[Height]]&gt;MIN(Calculations!$K$2,Calculations!$L$2),products_parts[[#This Row],[Height]]&lt;MAX(Calculations!$K$2,Calculations!$L$2))</f>
        <v>1</v>
      </c>
      <c r="R38" s="86">
        <f>IF(ISNUMBER(SEARCH("TPL",products_parts[[#This Row],[series]])),1,IF(products_parts[[#This Row],[series]]="PC",1,IF(ISNUMBER(SEARCH("PBL",products_parts[[#This Row],[series]])),2,2)))</f>
        <v>2</v>
      </c>
      <c r="S38" s="86" t="str">
        <f>IF(TempRange=2,IF(products_parts[[#This Row],[voltage2]]=0,"0","1"),"1")</f>
        <v>1</v>
      </c>
      <c r="T38" s="78">
        <f>IF(TempRange=1,products_parts[voltage],products_parts[voltage2])</f>
        <v>13.5</v>
      </c>
      <c r="U38" s="79" t="str">
        <f>IF(ISNUMBER(SEARCH("PBL ",products_parts[series])),"PBL",products_parts[series])</f>
        <v>PBLS</v>
      </c>
      <c r="V38" s="87" t="s">
        <v>84</v>
      </c>
      <c r="W38" s="87" t="s">
        <v>95</v>
      </c>
      <c r="X38" s="68">
        <v>13.5</v>
      </c>
      <c r="Y38" s="68">
        <v>0</v>
      </c>
      <c r="Z38" s="68">
        <v>5600000</v>
      </c>
      <c r="AA38" s="68">
        <v>250</v>
      </c>
      <c r="AB38" s="68">
        <v>1.41</v>
      </c>
      <c r="AC38" s="68">
        <v>0</v>
      </c>
      <c r="AD38" s="68">
        <v>66</v>
      </c>
      <c r="AE38" s="68">
        <v>0</v>
      </c>
      <c r="AF38" s="68">
        <v>46</v>
      </c>
      <c r="AG38" s="68">
        <v>14</v>
      </c>
      <c r="AH38" s="68">
        <v>0</v>
      </c>
      <c r="AI38" s="87" t="s">
        <v>37</v>
      </c>
      <c r="AJ38" s="87" t="s">
        <v>156</v>
      </c>
      <c r="AK38" s="68">
        <v>0</v>
      </c>
      <c r="AL38" s="68">
        <v>39.93</v>
      </c>
    </row>
    <row r="39" spans="1:45" s="37" customFormat="1" x14ac:dyDescent="0.25">
      <c r="A39" s="84">
        <f>products_parts[[#This Row],[Total Price]]+ROW()*0.0001</f>
        <v>217.8039</v>
      </c>
      <c r="B39" s="75">
        <f>products_parts[[#This Row],[cap_uf]]/1000000</f>
        <v>6.8</v>
      </c>
      <c r="C39" s="93">
        <f>products_parts[[#This Row],[Cap]]*products_parts[Total Parallel]/products_parts[Cells in Series]</f>
        <v>34</v>
      </c>
      <c r="D39" s="75">
        <f>PI()*((products_parts[[#This Row],[diameter]]/2)^2)*products_parts[[#This Row],[length]]/1000000</f>
        <v>0</v>
      </c>
      <c r="E39" s="75">
        <f>IF(products_parts[[#This Row],[Volume (L)]]=0,products_parts[[#This Row],[Height]]*products_parts[[#This Row],[length]]*products_parts[[#This Row],[Width Total]]/1000000,products_parts[[#This Row],[Volume (L)]])</f>
        <v>4.8048E-2</v>
      </c>
      <c r="F39" s="75">
        <f>products_parts[esr_dc]*products_parts[Cells in Series]/products_parts[Total Parallel]</f>
        <v>42</v>
      </c>
      <c r="G39" s="75">
        <f>IF(products_parts[[#This Row],[height2]]=0,products_parts[[#This Row],[length]]-products_parts[[#This Row],[lead_space_s]],products_parts[[#This Row],[height2]])</f>
        <v>52</v>
      </c>
      <c r="H39" s="85">
        <f>IF(products_parts[[#This Row],[thickness]]=0,IF(products_parts[[#This Row],[width]]=0,products_parts[[#This Row],[diameter]],products_parts[[#This Row],[width]]),products_parts[[#This Row],[thickness]])</f>
        <v>14</v>
      </c>
      <c r="I39" s="85">
        <f>IF(products_parts[[#This Row],[voltage]]=0,1000,ROUNDUP(WorkingV/products_parts[Operating Voltage (temp)],0))</f>
        <v>1</v>
      </c>
      <c r="J39" s="75">
        <f>ROUNDUP(Constant/(WorkingV-MinV)*((products_parts[esr_dc]/1000*products_parts[[#This Row],[Cap]])+Time)*products_parts[[#This Row],[Cells in Series]]/products_parts[[#This Row],[Cap]],0)</f>
        <v>5</v>
      </c>
      <c r="K39" s="78">
        <f>ROUNDUP(((Constant/WorkingV+Constant/MinV)/2)*(((products_parts[esr_dc]/1000*products_parts[Cap]))+Time)/(WorkingV-MinV)*(products_parts[[#This Row],[Cells in Series]]/products_parts[Cap]),0)</f>
        <v>1</v>
      </c>
      <c r="L39" s="79">
        <f>IF(Calculations!$J$2=1,products_parts[Cells in Parallel],products_parts[Parallel CP])</f>
        <v>5</v>
      </c>
      <c r="M39" s="75">
        <f>products_parts[[#This Row],[Cells in Series]]*products_parts[[#This Row],[Total Parallel]]</f>
        <v>5</v>
      </c>
      <c r="N39" s="76">
        <f>products_parts[[#This Row],[Price per Cell]]*products_parts[[#This Row],[Total '# of Caps]]</f>
        <v>217.8</v>
      </c>
      <c r="O39" s="77">
        <f>products_parts[[#This Row],[Calculated Volume]]*products_parts[[#This Row],[Total '# of Caps]]</f>
        <v>0.24024000000000001</v>
      </c>
      <c r="P39" s="77">
        <f>products_parts[[#This Row],[weight]]*products_parts[[#This Row],[Total '# of Caps]]</f>
        <v>0</v>
      </c>
      <c r="Q39" s="78" t="b">
        <f>AND(products_parts[[#This Row],[Height]]&gt;MIN(Calculations!$K$2,Calculations!$L$2),products_parts[[#This Row],[Height]]&lt;MAX(Calculations!$K$2,Calculations!$L$2))</f>
        <v>1</v>
      </c>
      <c r="R39" s="86">
        <f>IF(ISNUMBER(SEARCH("TPL",products_parts[[#This Row],[series]])),1,IF(products_parts[[#This Row],[series]]="PC",1,IF(ISNUMBER(SEARCH("PBL",products_parts[[#This Row],[series]])),2,2)))</f>
        <v>2</v>
      </c>
      <c r="S39" s="78" t="str">
        <f>IF(TempRange=2,IF(products_parts[[#This Row],[voltage2]]=0,"0","1"),"1")</f>
        <v>1</v>
      </c>
      <c r="T39" s="78">
        <f>IF(TempRange=1,products_parts[voltage],products_parts[voltage2])</f>
        <v>13.5</v>
      </c>
      <c r="U39" s="79" t="str">
        <f>IF(ISNUMBER(SEARCH("PBL ",products_parts[series])),"PBL",products_parts[series])</f>
        <v>PBLS</v>
      </c>
      <c r="V39" s="87" t="s">
        <v>84</v>
      </c>
      <c r="W39" s="87" t="s">
        <v>99</v>
      </c>
      <c r="X39" s="68">
        <v>13.5</v>
      </c>
      <c r="Y39" s="68">
        <v>0</v>
      </c>
      <c r="Z39" s="68">
        <v>6800000</v>
      </c>
      <c r="AA39" s="68">
        <v>210</v>
      </c>
      <c r="AB39" s="68">
        <v>1.42</v>
      </c>
      <c r="AC39" s="68">
        <v>0</v>
      </c>
      <c r="AD39" s="68">
        <v>66</v>
      </c>
      <c r="AE39" s="68">
        <v>0</v>
      </c>
      <c r="AF39" s="68">
        <v>52</v>
      </c>
      <c r="AG39" s="68">
        <v>14</v>
      </c>
      <c r="AH39" s="68">
        <v>0</v>
      </c>
      <c r="AI39" s="87" t="s">
        <v>37</v>
      </c>
      <c r="AJ39" s="87" t="s">
        <v>156</v>
      </c>
      <c r="AK39" s="68">
        <v>0</v>
      </c>
      <c r="AL39" s="68">
        <v>43.56</v>
      </c>
    </row>
    <row r="40" spans="1:45" s="37" customFormat="1" x14ac:dyDescent="0.25">
      <c r="A40" s="84">
        <f>products_parts[[#This Row],[Total Price]]+ROW()*0.0001</f>
        <v>188.76399999999998</v>
      </c>
      <c r="B40" s="75">
        <f>products_parts[[#This Row],[cap_uf]]/1000000</f>
        <v>8</v>
      </c>
      <c r="C40" s="93">
        <f>products_parts[[#This Row],[Cap]]*products_parts[Total Parallel]/products_parts[Cells in Series]</f>
        <v>32</v>
      </c>
      <c r="D40" s="75">
        <f>PI()*((products_parts[[#This Row],[diameter]]/2)^2)*products_parts[[#This Row],[length]]/1000000</f>
        <v>0</v>
      </c>
      <c r="E40" s="75">
        <f>IF(products_parts[[#This Row],[Volume (L)]]=0,products_parts[[#This Row],[Height]]*products_parts[[#This Row],[length]]*products_parts[[#This Row],[Width Total]]/1000000,products_parts[[#This Row],[Volume (L)]])</f>
        <v>4.8048E-2</v>
      </c>
      <c r="F40" s="75">
        <f>products_parts[esr_dc]*products_parts[Cells in Series]/products_parts[Total Parallel]</f>
        <v>46.25</v>
      </c>
      <c r="G40" s="75">
        <f>IF(products_parts[[#This Row],[height2]]=0,products_parts[[#This Row],[length]]-products_parts[[#This Row],[lead_space_s]],products_parts[[#This Row],[height2]])</f>
        <v>52</v>
      </c>
      <c r="H40" s="85">
        <f>IF(products_parts[[#This Row],[thickness]]=0,IF(products_parts[[#This Row],[width]]=0,products_parts[[#This Row],[diameter]],products_parts[[#This Row],[width]]),products_parts[[#This Row],[thickness]])</f>
        <v>14</v>
      </c>
      <c r="I40" s="85">
        <f>IF(products_parts[[#This Row],[voltage]]=0,1000,ROUNDUP(WorkingV/products_parts[Operating Voltage (temp)],0))</f>
        <v>1</v>
      </c>
      <c r="J40" s="75">
        <f>ROUNDUP(Constant/(WorkingV-MinV)*((products_parts[esr_dc]/1000*products_parts[[#This Row],[Cap]])+Time)*products_parts[[#This Row],[Cells in Series]]/products_parts[[#This Row],[Cap]],0)</f>
        <v>4</v>
      </c>
      <c r="K40" s="79">
        <f>ROUNDUP(((Constant/WorkingV+Constant/MinV)/2)*(((products_parts[esr_dc]/1000*products_parts[Cap]))+Time)/(WorkingV-MinV)*(products_parts[[#This Row],[Cells in Series]]/products_parts[Cap]),0)</f>
        <v>1</v>
      </c>
      <c r="L40" s="79">
        <f>IF(Calculations!$J$2=1,products_parts[Cells in Parallel],products_parts[Parallel CP])</f>
        <v>4</v>
      </c>
      <c r="M40" s="75">
        <f>products_parts[[#This Row],[Cells in Series]]*products_parts[[#This Row],[Total Parallel]]</f>
        <v>4</v>
      </c>
      <c r="N40" s="76">
        <f>products_parts[[#This Row],[Price per Cell]]*products_parts[[#This Row],[Total '# of Caps]]</f>
        <v>188.76</v>
      </c>
      <c r="O40" s="77">
        <f>products_parts[[#This Row],[Calculated Volume]]*products_parts[[#This Row],[Total '# of Caps]]</f>
        <v>0.192192</v>
      </c>
      <c r="P40" s="77">
        <f>products_parts[[#This Row],[weight]]*products_parts[[#This Row],[Total '# of Caps]]</f>
        <v>0</v>
      </c>
      <c r="Q40" s="78" t="b">
        <f>AND(products_parts[[#This Row],[Height]]&gt;MIN(Calculations!$K$2,Calculations!$L$2),products_parts[[#This Row],[Height]]&lt;MAX(Calculations!$K$2,Calculations!$L$2))</f>
        <v>1</v>
      </c>
      <c r="R40" s="86">
        <f>IF(ISNUMBER(SEARCH("TPL",products_parts[[#This Row],[series]])),1,IF(products_parts[[#This Row],[series]]="PC",1,IF(ISNUMBER(SEARCH("PBL",products_parts[[#This Row],[series]])),2,2)))</f>
        <v>2</v>
      </c>
      <c r="S40" s="86" t="str">
        <f>IF(TempRange=2,IF(products_parts[[#This Row],[voltage2]]=0,"0","1"),"1")</f>
        <v>1</v>
      </c>
      <c r="T40" s="78">
        <f>IF(TempRange=1,products_parts[voltage],products_parts[voltage2])</f>
        <v>13.5</v>
      </c>
      <c r="U40" s="79" t="str">
        <f>IF(ISNUMBER(SEARCH("PBL ",products_parts[series])),"PBL",products_parts[series])</f>
        <v>PBLS</v>
      </c>
      <c r="V40" s="87" t="s">
        <v>84</v>
      </c>
      <c r="W40" s="87" t="s">
        <v>103</v>
      </c>
      <c r="X40" s="68">
        <v>13.5</v>
      </c>
      <c r="Y40" s="68">
        <v>0</v>
      </c>
      <c r="Z40" s="68">
        <v>8000000</v>
      </c>
      <c r="AA40" s="68">
        <v>185</v>
      </c>
      <c r="AB40" s="68">
        <v>1.43</v>
      </c>
      <c r="AC40" s="68">
        <v>0</v>
      </c>
      <c r="AD40" s="68">
        <v>66</v>
      </c>
      <c r="AE40" s="68">
        <v>0</v>
      </c>
      <c r="AF40" s="68">
        <v>52</v>
      </c>
      <c r="AG40" s="68">
        <v>14</v>
      </c>
      <c r="AH40" s="68">
        <v>0</v>
      </c>
      <c r="AI40" s="87" t="s">
        <v>37</v>
      </c>
      <c r="AJ40" s="87" t="s">
        <v>156</v>
      </c>
      <c r="AK40" s="68">
        <v>0</v>
      </c>
      <c r="AL40" s="68">
        <v>47.19</v>
      </c>
    </row>
    <row r="41" spans="1:45" s="37" customFormat="1" x14ac:dyDescent="0.25">
      <c r="A41" s="84">
        <f>products_parts[[#This Row],[Total Price]]+ROW()*0.0001</f>
        <v>203.2841</v>
      </c>
      <c r="B41" s="75">
        <f>products_parts[[#This Row],[cap_uf]]/1000000</f>
        <v>9</v>
      </c>
      <c r="C41" s="93">
        <f>products_parts[[#This Row],[Cap]]*products_parts[Total Parallel]/products_parts[Cells in Series]</f>
        <v>36</v>
      </c>
      <c r="D41" s="75">
        <f>PI()*((products_parts[[#This Row],[diameter]]/2)^2)*products_parts[[#This Row],[length]]/1000000</f>
        <v>0</v>
      </c>
      <c r="E41" s="75">
        <f>IF(products_parts[[#This Row],[Volume (L)]]=0,products_parts[[#This Row],[Height]]*products_parts[[#This Row],[length]]*products_parts[[#This Row],[Width Total]]/1000000,products_parts[[#This Row],[Volume (L)]])</f>
        <v>5.6363999999999997E-2</v>
      </c>
      <c r="F41" s="75">
        <f>products_parts[esr_dc]*products_parts[Cells in Series]/products_parts[Total Parallel]</f>
        <v>42.5</v>
      </c>
      <c r="G41" s="75">
        <f>IF(products_parts[[#This Row],[height2]]=0,products_parts[[#This Row],[length]]-products_parts[[#This Row],[lead_space_s]],products_parts[[#This Row],[height2]])</f>
        <v>61</v>
      </c>
      <c r="H41" s="85">
        <f>IF(products_parts[[#This Row],[thickness]]=0,IF(products_parts[[#This Row],[width]]=0,products_parts[[#This Row],[diameter]],products_parts[[#This Row],[width]]),products_parts[[#This Row],[thickness]])</f>
        <v>14</v>
      </c>
      <c r="I41" s="85">
        <f>IF(products_parts[[#This Row],[voltage]]=0,1000,ROUNDUP(WorkingV/products_parts[Operating Voltage (temp)],0))</f>
        <v>1</v>
      </c>
      <c r="J41" s="75">
        <f>ROUNDUP(Constant/(WorkingV-MinV)*((products_parts[esr_dc]/1000*products_parts[[#This Row],[Cap]])+Time)*products_parts[[#This Row],[Cells in Series]]/products_parts[[#This Row],[Cap]],0)</f>
        <v>4</v>
      </c>
      <c r="K41" s="78">
        <f>ROUNDUP(((Constant/WorkingV+Constant/MinV)/2)*(((products_parts[esr_dc]/1000*products_parts[Cap]))+Time)/(WorkingV-MinV)*(products_parts[[#This Row],[Cells in Series]]/products_parts[Cap]),0)</f>
        <v>1</v>
      </c>
      <c r="L41" s="79">
        <f>IF(Calculations!$J$2=1,products_parts[Cells in Parallel],products_parts[Parallel CP])</f>
        <v>4</v>
      </c>
      <c r="M41" s="75">
        <f>products_parts[[#This Row],[Cells in Series]]*products_parts[[#This Row],[Total Parallel]]</f>
        <v>4</v>
      </c>
      <c r="N41" s="76">
        <f>products_parts[[#This Row],[Price per Cell]]*products_parts[[#This Row],[Total '# of Caps]]</f>
        <v>203.28</v>
      </c>
      <c r="O41" s="77">
        <f>products_parts[[#This Row],[Calculated Volume]]*products_parts[[#This Row],[Total '# of Caps]]</f>
        <v>0.22545599999999999</v>
      </c>
      <c r="P41" s="77">
        <f>products_parts[[#This Row],[weight]]*products_parts[[#This Row],[Total '# of Caps]]</f>
        <v>0</v>
      </c>
      <c r="Q41" s="78" t="b">
        <f>AND(products_parts[[#This Row],[Height]]&gt;MIN(Calculations!$K$2,Calculations!$L$2),products_parts[[#This Row],[Height]]&lt;MAX(Calculations!$K$2,Calculations!$L$2))</f>
        <v>1</v>
      </c>
      <c r="R41" s="86">
        <f>IF(ISNUMBER(SEARCH("TPL",products_parts[[#This Row],[series]])),1,IF(products_parts[[#This Row],[series]]="PC",1,IF(ISNUMBER(SEARCH("PBL",products_parts[[#This Row],[series]])),2,2)))</f>
        <v>2</v>
      </c>
      <c r="S41" s="78" t="str">
        <f>IF(TempRange=2,IF(products_parts[[#This Row],[voltage2]]=0,"0","1"),"1")</f>
        <v>1</v>
      </c>
      <c r="T41" s="79">
        <f>IF(TempRange=1,products_parts[voltage],products_parts[voltage2])</f>
        <v>13.5</v>
      </c>
      <c r="U41" s="79" t="str">
        <f>IF(ISNUMBER(SEARCH("PBL ",products_parts[series])),"PBL",products_parts[series])</f>
        <v>PBLS</v>
      </c>
      <c r="V41" s="87" t="s">
        <v>84</v>
      </c>
      <c r="W41" s="87" t="s">
        <v>107</v>
      </c>
      <c r="X41" s="68">
        <v>13.5</v>
      </c>
      <c r="Y41" s="68">
        <v>0</v>
      </c>
      <c r="Z41" s="68">
        <v>9000000</v>
      </c>
      <c r="AA41" s="68">
        <v>170</v>
      </c>
      <c r="AB41" s="68">
        <v>1.45</v>
      </c>
      <c r="AC41" s="68">
        <v>0</v>
      </c>
      <c r="AD41" s="68">
        <v>66</v>
      </c>
      <c r="AE41" s="68">
        <v>0</v>
      </c>
      <c r="AF41" s="68">
        <v>61</v>
      </c>
      <c r="AG41" s="68">
        <v>14</v>
      </c>
      <c r="AH41" s="68">
        <v>0</v>
      </c>
      <c r="AI41" s="87" t="s">
        <v>37</v>
      </c>
      <c r="AJ41" s="87" t="s">
        <v>156</v>
      </c>
      <c r="AK41" s="68">
        <v>0</v>
      </c>
      <c r="AL41" s="68">
        <v>50.82</v>
      </c>
    </row>
    <row r="42" spans="1:45" s="37" customFormat="1" x14ac:dyDescent="0.25">
      <c r="A42" s="84">
        <f>products_parts[[#This Row],[Total Price]]+ROW()*0.0001</f>
        <v>163.35420000000002</v>
      </c>
      <c r="B42" s="75">
        <f>products_parts[[#This Row],[cap_uf]]/1000000</f>
        <v>10</v>
      </c>
      <c r="C42" s="93">
        <f>products_parts[[#This Row],[Cap]]*products_parts[Total Parallel]/products_parts[Cells in Series]</f>
        <v>30</v>
      </c>
      <c r="D42" s="75">
        <f>PI()*((products_parts[[#This Row],[diameter]]/2)^2)*products_parts[[#This Row],[length]]/1000000</f>
        <v>0</v>
      </c>
      <c r="E42" s="75">
        <f>IF(products_parts[[#This Row],[Volume (L)]]=0,products_parts[[#This Row],[Height]]*products_parts[[#This Row],[length]]*products_parts[[#This Row],[Width Total]]/1000000,products_parts[[#This Row],[Volume (L)]])</f>
        <v>6.0983999999999997E-2</v>
      </c>
      <c r="F42" s="75">
        <f>products_parts[esr_dc]*products_parts[Cells in Series]/products_parts[Total Parallel]</f>
        <v>53.333333333333336</v>
      </c>
      <c r="G42" s="75">
        <f>IF(products_parts[[#This Row],[height2]]=0,products_parts[[#This Row],[length]]-products_parts[[#This Row],[lead_space_s]],products_parts[[#This Row],[height2]])</f>
        <v>66</v>
      </c>
      <c r="H42" s="85">
        <f>IF(products_parts[[#This Row],[thickness]]=0,IF(products_parts[[#This Row],[width]]=0,products_parts[[#This Row],[diameter]],products_parts[[#This Row],[width]]),products_parts[[#This Row],[thickness]])</f>
        <v>14</v>
      </c>
      <c r="I42" s="85">
        <f>IF(products_parts[[#This Row],[voltage]]=0,1000,ROUNDUP(WorkingV/products_parts[Operating Voltage (temp)],0))</f>
        <v>1</v>
      </c>
      <c r="J42" s="75">
        <f>ROUNDUP(Constant/(WorkingV-MinV)*((products_parts[esr_dc]/1000*products_parts[[#This Row],[Cap]])+Time)*products_parts[[#This Row],[Cells in Series]]/products_parts[[#This Row],[Cap]],0)</f>
        <v>3</v>
      </c>
      <c r="K42" s="79">
        <f>ROUNDUP(((Constant/WorkingV+Constant/MinV)/2)*(((products_parts[esr_dc]/1000*products_parts[Cap]))+Time)/(WorkingV-MinV)*(products_parts[[#This Row],[Cells in Series]]/products_parts[Cap]),0)</f>
        <v>1</v>
      </c>
      <c r="L42" s="79">
        <f>IF(Calculations!$J$2=1,products_parts[Cells in Parallel],products_parts[Parallel CP])</f>
        <v>3</v>
      </c>
      <c r="M42" s="75">
        <f>products_parts[[#This Row],[Cells in Series]]*products_parts[[#This Row],[Total Parallel]]</f>
        <v>3</v>
      </c>
      <c r="N42" s="76">
        <f>products_parts[[#This Row],[Price per Cell]]*products_parts[[#This Row],[Total '# of Caps]]</f>
        <v>163.35000000000002</v>
      </c>
      <c r="O42" s="77">
        <f>products_parts[[#This Row],[Calculated Volume]]*products_parts[[#This Row],[Total '# of Caps]]</f>
        <v>0.182952</v>
      </c>
      <c r="P42" s="77">
        <f>products_parts[[#This Row],[weight]]*products_parts[[#This Row],[Total '# of Caps]]</f>
        <v>0</v>
      </c>
      <c r="Q42" s="78" t="b">
        <f>AND(products_parts[[#This Row],[Height]]&gt;MIN(Calculations!$K$2,Calculations!$L$2),products_parts[[#This Row],[Height]]&lt;MAX(Calculations!$K$2,Calculations!$L$2))</f>
        <v>1</v>
      </c>
      <c r="R42" s="86">
        <f>IF(ISNUMBER(SEARCH("TPL",products_parts[[#This Row],[series]])),1,IF(products_parts[[#This Row],[series]]="PC",1,IF(ISNUMBER(SEARCH("PBL",products_parts[[#This Row],[series]])),2,2)))</f>
        <v>2</v>
      </c>
      <c r="S42" s="78" t="str">
        <f>IF(TempRange=2,IF(products_parts[[#This Row],[voltage2]]=0,"0","1"),"1")</f>
        <v>1</v>
      </c>
      <c r="T42" s="78">
        <f>IF(TempRange=1,products_parts[voltage],products_parts[voltage2])</f>
        <v>13.5</v>
      </c>
      <c r="U42" s="79" t="str">
        <f>IF(ISNUMBER(SEARCH("PBL ",products_parts[series])),"PBL",products_parts[series])</f>
        <v>PBLS</v>
      </c>
      <c r="V42" s="87" t="s">
        <v>84</v>
      </c>
      <c r="W42" s="87" t="s">
        <v>111</v>
      </c>
      <c r="X42" s="68">
        <v>13.5</v>
      </c>
      <c r="Y42" s="68">
        <v>0</v>
      </c>
      <c r="Z42" s="68">
        <v>10000000</v>
      </c>
      <c r="AA42" s="68">
        <v>160</v>
      </c>
      <c r="AB42" s="68">
        <v>1.48</v>
      </c>
      <c r="AC42" s="68">
        <v>0</v>
      </c>
      <c r="AD42" s="68">
        <v>66</v>
      </c>
      <c r="AE42" s="68">
        <v>0</v>
      </c>
      <c r="AF42" s="68">
        <v>66</v>
      </c>
      <c r="AG42" s="68">
        <v>14</v>
      </c>
      <c r="AH42" s="68">
        <v>0</v>
      </c>
      <c r="AI42" s="87" t="s">
        <v>37</v>
      </c>
      <c r="AJ42" s="87" t="s">
        <v>156</v>
      </c>
      <c r="AK42" s="68">
        <v>0</v>
      </c>
      <c r="AL42" s="68">
        <v>54.45</v>
      </c>
      <c r="AS42" s="38"/>
    </row>
    <row r="43" spans="1:45" s="37" customFormat="1" x14ac:dyDescent="0.25">
      <c r="A43" s="84">
        <f>products_parts[[#This Row],[Total Price]]+ROW()*0.0001</f>
        <v>115.0043</v>
      </c>
      <c r="B43" s="75">
        <f>products_parts[[#This Row],[cap_uf]]/1000000</f>
        <v>87</v>
      </c>
      <c r="C43" s="93">
        <f>products_parts[[#This Row],[Cap]]*products_parts[Total Parallel]/products_parts[Cells in Series]</f>
        <v>87</v>
      </c>
      <c r="D43" s="75">
        <f>PI()*((products_parts[[#This Row],[diameter]]/2)^2)*products_parts[[#This Row],[length]]/1000000</f>
        <v>0</v>
      </c>
      <c r="E43" s="75">
        <f>IF(products_parts[[#This Row],[Volume (L)]]=0,products_parts[[#This Row],[Height]]*products_parts[[#This Row],[length]]*products_parts[[#This Row],[Width Total]]/1000000,products_parts[[#This Row],[Volume (L)]])</f>
        <v>0.60681600000000002</v>
      </c>
      <c r="F43" s="75">
        <f>products_parts[esr_dc]*products_parts[Cells in Series]/products_parts[Total Parallel]</f>
        <v>20</v>
      </c>
      <c r="G43" s="75">
        <f>IF(products_parts[[#This Row],[height2]]=0,products_parts[[#This Row],[length]]-products_parts[[#This Row],[lead_space_s]],products_parts[[#This Row],[height2]])</f>
        <v>86</v>
      </c>
      <c r="H43" s="85">
        <f>IF(products_parts[[#This Row],[thickness]]=0,IF(products_parts[[#This Row],[width]]=0,products_parts[[#This Row],[diameter]],products_parts[[#This Row],[width]]),products_parts[[#This Row],[thickness]])</f>
        <v>42</v>
      </c>
      <c r="I43" s="85">
        <f>IF(products_parts[[#This Row],[voltage]]=0,1000,ROUNDUP(WorkingV/products_parts[Operating Voltage (temp)],0))</f>
        <v>1</v>
      </c>
      <c r="J43" s="75">
        <f>ROUNDUP(Constant/(WorkingV-MinV)*((products_parts[esr_dc]/1000*products_parts[[#This Row],[Cap]])+Time)*products_parts[[#This Row],[Cells in Series]]/products_parts[[#This Row],[Cap]],0)</f>
        <v>1</v>
      </c>
      <c r="K43" s="78">
        <f>ROUNDUP(((Constant/WorkingV+Constant/MinV)/2)*(((products_parts[esr_dc]/1000*products_parts[Cap]))+Time)/(WorkingV-MinV)*(products_parts[[#This Row],[Cells in Series]]/products_parts[Cap]),0)</f>
        <v>1</v>
      </c>
      <c r="L43" s="79">
        <f>IF(Calculations!$J$2=1,products_parts[Cells in Parallel],products_parts[Parallel CP])</f>
        <v>1</v>
      </c>
      <c r="M43" s="75">
        <f>products_parts[[#This Row],[Cells in Series]]*products_parts[[#This Row],[Total Parallel]]</f>
        <v>1</v>
      </c>
      <c r="N43" s="76">
        <f>products_parts[[#This Row],[Price per Cell]]*products_parts[[#This Row],[Total '# of Caps]]</f>
        <v>115</v>
      </c>
      <c r="O43" s="77">
        <f>products_parts[[#This Row],[Calculated Volume]]*products_parts[[#This Row],[Total '# of Caps]]</f>
        <v>0.60681600000000002</v>
      </c>
      <c r="P43" s="77">
        <f>products_parts[[#This Row],[weight]]*products_parts[[#This Row],[Total '# of Caps]]</f>
        <v>470</v>
      </c>
      <c r="Q43" s="78" t="b">
        <f>AND(products_parts[[#This Row],[Height]]&gt;MIN(Calculations!$K$2,Calculations!$L$2),products_parts[[#This Row],[Height]]&lt;MAX(Calculations!$K$2,Calculations!$L$2))</f>
        <v>1</v>
      </c>
      <c r="R43" s="86">
        <f>IF(ISNUMBER(SEARCH("TPL",products_parts[[#This Row],[series]])),1,IF(products_parts[[#This Row],[series]]="PC",1,IF(ISNUMBER(SEARCH("PBL",products_parts[[#This Row],[series]])),2,2)))</f>
        <v>2</v>
      </c>
      <c r="S43" s="78" t="str">
        <f>IF(TempRange=2,IF(products_parts[[#This Row],[voltage2]]=0,"0","1"),"1")</f>
        <v>1</v>
      </c>
      <c r="T43" s="79">
        <f>IF(TempRange=1,products_parts[voltage],products_parts[voltage2])</f>
        <v>12</v>
      </c>
      <c r="U43" s="79" t="str">
        <f>IF(ISNUMBER(SEARCH("PBL ",products_parts[series])),"PBL",products_parts[series])</f>
        <v>PBLH 12V</v>
      </c>
      <c r="V43" s="87" t="s">
        <v>269</v>
      </c>
      <c r="W43" s="87" t="s">
        <v>270</v>
      </c>
      <c r="X43" s="68">
        <v>12</v>
      </c>
      <c r="Y43" s="68">
        <v>0</v>
      </c>
      <c r="Z43" s="68">
        <v>87000000</v>
      </c>
      <c r="AA43" s="68">
        <v>20</v>
      </c>
      <c r="AB43" s="68">
        <v>10</v>
      </c>
      <c r="AC43" s="68">
        <v>0</v>
      </c>
      <c r="AD43" s="68">
        <v>168</v>
      </c>
      <c r="AE43" s="68">
        <v>42</v>
      </c>
      <c r="AF43" s="68">
        <v>86</v>
      </c>
      <c r="AG43" s="68">
        <v>0</v>
      </c>
      <c r="AH43" s="68">
        <v>0</v>
      </c>
      <c r="AI43" s="87" t="s">
        <v>37</v>
      </c>
      <c r="AJ43" s="87" t="s">
        <v>156</v>
      </c>
      <c r="AK43" s="68">
        <v>470</v>
      </c>
      <c r="AL43" s="68">
        <v>115</v>
      </c>
      <c r="AS43" s="38"/>
    </row>
    <row r="44" spans="1:45" s="37" customFormat="1" x14ac:dyDescent="0.25">
      <c r="A44" s="84">
        <f>products_parts[[#This Row],[Total Price]]+ROW()*0.0001</f>
        <v>120.0044</v>
      </c>
      <c r="B44" s="75">
        <f>products_parts[[#This Row],[cap_uf]]/1000000</f>
        <v>100</v>
      </c>
      <c r="C44" s="93">
        <f>products_parts[[#This Row],[Cap]]*products_parts[Total Parallel]/products_parts[Cells in Series]</f>
        <v>100</v>
      </c>
      <c r="D44" s="75">
        <f>PI()*((products_parts[[#This Row],[diameter]]/2)^2)*products_parts[[#This Row],[length]]/1000000</f>
        <v>0</v>
      </c>
      <c r="E44" s="75">
        <f>IF(products_parts[[#This Row],[Volume (L)]]=0,products_parts[[#This Row],[Height]]*products_parts[[#This Row],[length]]*products_parts[[#This Row],[Width Total]]/1000000,products_parts[[#This Row],[Volume (L)]])</f>
        <v>0.60681600000000002</v>
      </c>
      <c r="F44" s="75">
        <f>products_parts[esr_dc]*products_parts[Cells in Series]/products_parts[Total Parallel]</f>
        <v>20</v>
      </c>
      <c r="G44" s="75">
        <f>IF(products_parts[[#This Row],[height2]]=0,products_parts[[#This Row],[length]]-products_parts[[#This Row],[lead_space_s]],products_parts[[#This Row],[height2]])</f>
        <v>86</v>
      </c>
      <c r="H44" s="85">
        <f>IF(products_parts[[#This Row],[thickness]]=0,IF(products_parts[[#This Row],[width]]=0,products_parts[[#This Row],[diameter]],products_parts[[#This Row],[width]]),products_parts[[#This Row],[thickness]])</f>
        <v>42</v>
      </c>
      <c r="I44" s="85">
        <f>IF(products_parts[[#This Row],[voltage]]=0,1000,ROUNDUP(WorkingV/products_parts[Operating Voltage (temp)],0))</f>
        <v>1</v>
      </c>
      <c r="J44" s="75">
        <f>ROUNDUP(Constant/(WorkingV-MinV)*((products_parts[esr_dc]/1000*products_parts[[#This Row],[Cap]])+Time)*products_parts[[#This Row],[Cells in Series]]/products_parts[[#This Row],[Cap]],0)</f>
        <v>1</v>
      </c>
      <c r="K44" s="78">
        <f>ROUNDUP(((Constant/WorkingV+Constant/MinV)/2)*(((products_parts[esr_dc]/1000*products_parts[Cap]))+Time)/(WorkingV-MinV)*(products_parts[[#This Row],[Cells in Series]]/products_parts[Cap]),0)</f>
        <v>1</v>
      </c>
      <c r="L44" s="79">
        <f>IF(Calculations!$J$2=1,products_parts[Cells in Parallel],products_parts[Parallel CP])</f>
        <v>1</v>
      </c>
      <c r="M44" s="75">
        <f>products_parts[[#This Row],[Cells in Series]]*products_parts[[#This Row],[Total Parallel]]</f>
        <v>1</v>
      </c>
      <c r="N44" s="76">
        <f>products_parts[[#This Row],[Price per Cell]]*products_parts[[#This Row],[Total '# of Caps]]</f>
        <v>120</v>
      </c>
      <c r="O44" s="77">
        <f>products_parts[[#This Row],[Calculated Volume]]*products_parts[[#This Row],[Total '# of Caps]]</f>
        <v>0.60681600000000002</v>
      </c>
      <c r="P44" s="77">
        <f>products_parts[[#This Row],[weight]]*products_parts[[#This Row],[Total '# of Caps]]</f>
        <v>488</v>
      </c>
      <c r="Q44" s="78" t="b">
        <f>AND(products_parts[[#This Row],[Height]]&gt;MIN(Calculations!$K$2,Calculations!$L$2),products_parts[[#This Row],[Height]]&lt;MAX(Calculations!$K$2,Calculations!$L$2))</f>
        <v>1</v>
      </c>
      <c r="R44" s="86">
        <f>IF(ISNUMBER(SEARCH("TPL",products_parts[[#This Row],[series]])),1,IF(products_parts[[#This Row],[series]]="PC",1,IF(ISNUMBER(SEARCH("PBL",products_parts[[#This Row],[series]])),2,2)))</f>
        <v>2</v>
      </c>
      <c r="S44" s="78" t="str">
        <f>IF(TempRange=2,IF(products_parts[[#This Row],[voltage2]]=0,"0","1"),"1")</f>
        <v>1</v>
      </c>
      <c r="T44" s="79">
        <f>IF(TempRange=1,products_parts[voltage],products_parts[voltage2])</f>
        <v>12</v>
      </c>
      <c r="U44" s="79" t="str">
        <f>IF(ISNUMBER(SEARCH("PBL ",products_parts[series])),"PBL",products_parts[series])</f>
        <v>PBLH 12V</v>
      </c>
      <c r="V44" s="87" t="s">
        <v>269</v>
      </c>
      <c r="W44" s="87" t="s">
        <v>271</v>
      </c>
      <c r="X44" s="68">
        <v>12</v>
      </c>
      <c r="Y44" s="68">
        <v>0</v>
      </c>
      <c r="Z44" s="68">
        <v>100000000</v>
      </c>
      <c r="AA44" s="68">
        <v>20</v>
      </c>
      <c r="AB44" s="68">
        <v>10</v>
      </c>
      <c r="AC44" s="68">
        <v>0</v>
      </c>
      <c r="AD44" s="68">
        <v>168</v>
      </c>
      <c r="AE44" s="68">
        <v>42</v>
      </c>
      <c r="AF44" s="68">
        <v>86</v>
      </c>
      <c r="AG44" s="68">
        <v>0</v>
      </c>
      <c r="AH44" s="68">
        <v>0</v>
      </c>
      <c r="AI44" s="87" t="s">
        <v>37</v>
      </c>
      <c r="AJ44" s="87" t="s">
        <v>156</v>
      </c>
      <c r="AK44" s="68">
        <v>488</v>
      </c>
      <c r="AL44" s="68">
        <v>120</v>
      </c>
      <c r="AS44" s="38"/>
    </row>
    <row r="45" spans="1:45" s="37" customFormat="1" x14ac:dyDescent="0.25">
      <c r="A45" s="84">
        <f>products_parts[[#This Row],[Total Price]]+ROW()*0.0001</f>
        <v>125.00449999999999</v>
      </c>
      <c r="B45" s="75">
        <f>products_parts[[#This Row],[cap_uf]]/1000000</f>
        <v>112</v>
      </c>
      <c r="C45" s="93">
        <f>products_parts[[#This Row],[Cap]]*products_parts[Total Parallel]/products_parts[Cells in Series]</f>
        <v>112</v>
      </c>
      <c r="D45" s="75">
        <f>PI()*((products_parts[[#This Row],[diameter]]/2)^2)*products_parts[[#This Row],[length]]/1000000</f>
        <v>0</v>
      </c>
      <c r="E45" s="75">
        <f>IF(products_parts[[#This Row],[Volume (L)]]=0,products_parts[[#This Row],[Height]]*products_parts[[#This Row],[length]]*products_parts[[#This Row],[Width Total]]/1000000,products_parts[[#This Row],[Volume (L)]])</f>
        <v>0.60681600000000002</v>
      </c>
      <c r="F45" s="75">
        <f>products_parts[esr_dc]*products_parts[Cells in Series]/products_parts[Total Parallel]</f>
        <v>20</v>
      </c>
      <c r="G45" s="75">
        <f>IF(products_parts[[#This Row],[height2]]=0,products_parts[[#This Row],[length]]-products_parts[[#This Row],[lead_space_s]],products_parts[[#This Row],[height2]])</f>
        <v>86</v>
      </c>
      <c r="H45" s="85">
        <f>IF(products_parts[[#This Row],[thickness]]=0,IF(products_parts[[#This Row],[width]]=0,products_parts[[#This Row],[diameter]],products_parts[[#This Row],[width]]),products_parts[[#This Row],[thickness]])</f>
        <v>42</v>
      </c>
      <c r="I45" s="85">
        <f>IF(products_parts[[#This Row],[voltage]]=0,1000,ROUNDUP(WorkingV/products_parts[Operating Voltage (temp)],0))</f>
        <v>1</v>
      </c>
      <c r="J45" s="75">
        <f>ROUNDUP(Constant/(WorkingV-MinV)*((products_parts[esr_dc]/1000*products_parts[[#This Row],[Cap]])+Time)*products_parts[[#This Row],[Cells in Series]]/products_parts[[#This Row],[Cap]],0)</f>
        <v>1</v>
      </c>
      <c r="K45" s="78">
        <f>ROUNDUP(((Constant/WorkingV+Constant/MinV)/2)*(((products_parts[esr_dc]/1000*products_parts[Cap]))+Time)/(WorkingV-MinV)*(products_parts[[#This Row],[Cells in Series]]/products_parts[Cap]),0)</f>
        <v>1</v>
      </c>
      <c r="L45" s="79">
        <f>IF(Calculations!$J$2=1,products_parts[Cells in Parallel],products_parts[Parallel CP])</f>
        <v>1</v>
      </c>
      <c r="M45" s="75">
        <f>products_parts[[#This Row],[Cells in Series]]*products_parts[[#This Row],[Total Parallel]]</f>
        <v>1</v>
      </c>
      <c r="N45" s="76">
        <f>products_parts[[#This Row],[Price per Cell]]*products_parts[[#This Row],[Total '# of Caps]]</f>
        <v>125</v>
      </c>
      <c r="O45" s="77">
        <f>products_parts[[#This Row],[Calculated Volume]]*products_parts[[#This Row],[Total '# of Caps]]</f>
        <v>0.60681600000000002</v>
      </c>
      <c r="P45" s="77">
        <f>products_parts[[#This Row],[weight]]*products_parts[[#This Row],[Total '# of Caps]]</f>
        <v>517</v>
      </c>
      <c r="Q45" s="78" t="b">
        <f>AND(products_parts[[#This Row],[Height]]&gt;MIN(Calculations!$K$2,Calculations!$L$2),products_parts[[#This Row],[Height]]&lt;MAX(Calculations!$K$2,Calculations!$L$2))</f>
        <v>1</v>
      </c>
      <c r="R45" s="86">
        <f>IF(ISNUMBER(SEARCH("TPL",products_parts[[#This Row],[series]])),1,IF(products_parts[[#This Row],[series]]="PC",1,IF(ISNUMBER(SEARCH("PBL",products_parts[[#This Row],[series]])),2,2)))</f>
        <v>2</v>
      </c>
      <c r="S45" s="86" t="str">
        <f>IF(TempRange=2,IF(products_parts[[#This Row],[voltage2]]=0,"0","1"),"1")</f>
        <v>1</v>
      </c>
      <c r="T45" s="78">
        <f>IF(TempRange=1,products_parts[voltage],products_parts[voltage2])</f>
        <v>12</v>
      </c>
      <c r="U45" s="79" t="str">
        <f>IF(ISNUMBER(SEARCH("PBL ",products_parts[series])),"PBL",products_parts[series])</f>
        <v>PBLH 12V</v>
      </c>
      <c r="V45" s="87" t="s">
        <v>269</v>
      </c>
      <c r="W45" s="87" t="s">
        <v>272</v>
      </c>
      <c r="X45" s="68">
        <v>12</v>
      </c>
      <c r="Y45" s="68">
        <v>0</v>
      </c>
      <c r="Z45" s="68">
        <v>112000000</v>
      </c>
      <c r="AA45" s="68">
        <v>20</v>
      </c>
      <c r="AB45" s="68">
        <v>10</v>
      </c>
      <c r="AC45" s="68">
        <v>0</v>
      </c>
      <c r="AD45" s="68">
        <v>168</v>
      </c>
      <c r="AE45" s="68">
        <v>42</v>
      </c>
      <c r="AF45" s="68">
        <v>86</v>
      </c>
      <c r="AG45" s="68">
        <v>0</v>
      </c>
      <c r="AH45" s="68">
        <v>0</v>
      </c>
      <c r="AI45" s="87" t="s">
        <v>37</v>
      </c>
      <c r="AJ45" s="87" t="s">
        <v>156</v>
      </c>
      <c r="AK45" s="68">
        <v>517</v>
      </c>
      <c r="AL45" s="68">
        <v>125</v>
      </c>
      <c r="AS45" s="38"/>
    </row>
    <row r="46" spans="1:45" s="37" customFormat="1" x14ac:dyDescent="0.25">
      <c r="A46" s="84">
        <f>products_parts[[#This Row],[Total Price]]+ROW()*0.0001</f>
        <v>1089.0046</v>
      </c>
      <c r="B46" s="75">
        <f>products_parts[[#This Row],[cap_uf]]/1000000</f>
        <v>2.5</v>
      </c>
      <c r="C46" s="93">
        <f>products_parts[[#This Row],[Cap]]*products_parts[Total Parallel]/products_parts[Cells in Series]</f>
        <v>27.5</v>
      </c>
      <c r="D46" s="75">
        <f>PI()*((products_parts[[#This Row],[diameter]]/2)^2)*products_parts[[#This Row],[length]]/1000000</f>
        <v>0</v>
      </c>
      <c r="E46" s="75">
        <f>IF(products_parts[[#This Row],[Volume (L)]]=0,products_parts[[#This Row],[Height]]*products_parts[[#This Row],[length]]*products_parts[[#This Row],[Width Total]]/1000000,products_parts[[#This Row],[Volume (L)]])</f>
        <v>1.7028000000000001E-2</v>
      </c>
      <c r="F46" s="75">
        <f>products_parts[esr_dc]*products_parts[Cells in Series]/products_parts[Total Parallel]</f>
        <v>36.363636363636367</v>
      </c>
      <c r="G46" s="75">
        <f>IF(products_parts[[#This Row],[height2]]=0,products_parts[[#This Row],[length]]-products_parts[[#This Row],[lead_space_s]],products_parts[[#This Row],[height2]])</f>
        <v>36</v>
      </c>
      <c r="H46" s="85">
        <f>IF(products_parts[[#This Row],[thickness]]=0,IF(products_parts[[#This Row],[width]]=0,products_parts[[#This Row],[diameter]],products_parts[[#This Row],[width]]),products_parts[[#This Row],[thickness]])</f>
        <v>11</v>
      </c>
      <c r="I46" s="85">
        <f>IF(products_parts[[#This Row],[voltage]]=0,1000,ROUNDUP(WorkingV/products_parts[Operating Voltage (temp)],0))</f>
        <v>2</v>
      </c>
      <c r="J46" s="75">
        <f>ROUNDUP(Constant/(WorkingV-MinV)*((products_parts[esr_dc]/1000*products_parts[[#This Row],[Cap]])+Time)*products_parts[[#This Row],[Cells in Series]]/products_parts[[#This Row],[Cap]],0)</f>
        <v>22</v>
      </c>
      <c r="K46" s="79">
        <f>ROUNDUP(((Constant/WorkingV+Constant/MinV)/2)*(((products_parts[esr_dc]/1000*products_parts[Cap]))+Time)/(WorkingV-MinV)*(products_parts[[#This Row],[Cells in Series]]/products_parts[Cap]),0)</f>
        <v>3</v>
      </c>
      <c r="L46" s="79">
        <f>IF(Calculations!$J$2=1,products_parts[Cells in Parallel],products_parts[Parallel CP])</f>
        <v>22</v>
      </c>
      <c r="M46" s="75">
        <f>products_parts[[#This Row],[Cells in Series]]*products_parts[[#This Row],[Total Parallel]]</f>
        <v>44</v>
      </c>
      <c r="N46" s="76">
        <f>products_parts[[#This Row],[Price per Cell]]*products_parts[[#This Row],[Total '# of Caps]]</f>
        <v>1089</v>
      </c>
      <c r="O46" s="77">
        <f>products_parts[[#This Row],[Calculated Volume]]*products_parts[[#This Row],[Total '# of Caps]]</f>
        <v>0.74923200000000012</v>
      </c>
      <c r="P46" s="77">
        <f>products_parts[[#This Row],[weight]]*products_parts[[#This Row],[Total '# of Caps]]</f>
        <v>0</v>
      </c>
      <c r="Q46" s="78" t="b">
        <f>AND(products_parts[[#This Row],[Height]]&gt;MIN(Calculations!$K$2,Calculations!$L$2),products_parts[[#This Row],[Height]]&lt;MAX(Calculations!$K$2,Calculations!$L$2))</f>
        <v>1</v>
      </c>
      <c r="R46" s="86">
        <f>IF(ISNUMBER(SEARCH("TPL",products_parts[[#This Row],[series]])),1,IF(products_parts[[#This Row],[series]]="PC",1,IF(ISNUMBER(SEARCH("PBL",products_parts[[#This Row],[series]])),2,2)))</f>
        <v>2</v>
      </c>
      <c r="S46" s="86" t="str">
        <f>IF(TempRange=2,IF(products_parts[[#This Row],[voltage2]]=0,"0","1"),"1")</f>
        <v>1</v>
      </c>
      <c r="T46" s="78">
        <f>IF(TempRange=1,products_parts[voltage],products_parts[voltage2])</f>
        <v>10.8</v>
      </c>
      <c r="U46" s="79" t="str">
        <f>IF(ISNUMBER(SEARCH("PBL ",products_parts[series])),"PBL",products_parts[series])</f>
        <v>PBLS</v>
      </c>
      <c r="V46" s="87" t="s">
        <v>84</v>
      </c>
      <c r="W46" s="87" t="s">
        <v>86</v>
      </c>
      <c r="X46" s="68">
        <v>10.8</v>
      </c>
      <c r="Y46" s="68">
        <v>0</v>
      </c>
      <c r="Z46" s="68">
        <v>2500000</v>
      </c>
      <c r="AA46" s="68">
        <v>400</v>
      </c>
      <c r="AB46" s="68">
        <v>0.33</v>
      </c>
      <c r="AC46" s="68">
        <v>0</v>
      </c>
      <c r="AD46" s="68">
        <v>43</v>
      </c>
      <c r="AE46" s="68">
        <v>0</v>
      </c>
      <c r="AF46" s="68">
        <v>36</v>
      </c>
      <c r="AG46" s="68">
        <v>11</v>
      </c>
      <c r="AH46" s="68">
        <v>0</v>
      </c>
      <c r="AI46" s="87" t="s">
        <v>37</v>
      </c>
      <c r="AJ46" s="87" t="s">
        <v>156</v>
      </c>
      <c r="AK46" s="68">
        <v>0</v>
      </c>
      <c r="AL46" s="68">
        <v>24.75</v>
      </c>
      <c r="AS46" s="38"/>
    </row>
    <row r="47" spans="1:45" s="37" customFormat="1" x14ac:dyDescent="0.25">
      <c r="A47" s="84">
        <f>products_parts[[#This Row],[Total Price]]+ROW()*0.0001</f>
        <v>726.00469999999996</v>
      </c>
      <c r="B47" s="75">
        <f>products_parts[[#This Row],[cap_uf]]/1000000</f>
        <v>5.5</v>
      </c>
      <c r="C47" s="93">
        <f>products_parts[[#This Row],[Cap]]*products_parts[Total Parallel]/products_parts[Cells in Series]</f>
        <v>30.25</v>
      </c>
      <c r="D47" s="75">
        <f>PI()*((products_parts[[#This Row],[diameter]]/2)^2)*products_parts[[#This Row],[length]]/1000000</f>
        <v>0</v>
      </c>
      <c r="E47" s="75">
        <f>IF(products_parts[[#This Row],[Volume (L)]]=0,products_parts[[#This Row],[Height]]*products_parts[[#This Row],[length]]*products_parts[[#This Row],[Width Total]]/1000000,products_parts[[#This Row],[Volume (L)]])</f>
        <v>3.1164000000000001E-2</v>
      </c>
      <c r="F47" s="75">
        <f>products_parts[esr_dc]*products_parts[Cells in Series]/products_parts[Total Parallel]</f>
        <v>43.636363636363633</v>
      </c>
      <c r="G47" s="75">
        <f>IF(products_parts[[#This Row],[height2]]=0,products_parts[[#This Row],[length]]-products_parts[[#This Row],[lead_space_s]],products_parts[[#This Row],[height2]])</f>
        <v>42</v>
      </c>
      <c r="H47" s="85">
        <f>IF(products_parts[[#This Row],[thickness]]=0,IF(products_parts[[#This Row],[width]]=0,products_parts[[#This Row],[diameter]],products_parts[[#This Row],[width]]),products_parts[[#This Row],[thickness]])</f>
        <v>14</v>
      </c>
      <c r="I47" s="85">
        <f>IF(products_parts[[#This Row],[voltage]]=0,1000,ROUNDUP(WorkingV/products_parts[Operating Voltage (temp)],0))</f>
        <v>2</v>
      </c>
      <c r="J47" s="75">
        <f>ROUNDUP(Constant/(WorkingV-MinV)*((products_parts[esr_dc]/1000*products_parts[[#This Row],[Cap]])+Time)*products_parts[[#This Row],[Cells in Series]]/products_parts[[#This Row],[Cap]],0)</f>
        <v>11</v>
      </c>
      <c r="K47" s="78">
        <f>ROUNDUP(((Constant/WorkingV+Constant/MinV)/2)*(((products_parts[esr_dc]/1000*products_parts[Cap]))+Time)/(WorkingV-MinV)*(products_parts[[#This Row],[Cells in Series]]/products_parts[Cap]),0)</f>
        <v>1</v>
      </c>
      <c r="L47" s="79">
        <f>IF(Calculations!$J$2=1,products_parts[Cells in Parallel],products_parts[Parallel CP])</f>
        <v>11</v>
      </c>
      <c r="M47" s="75">
        <f>products_parts[[#This Row],[Cells in Series]]*products_parts[[#This Row],[Total Parallel]]</f>
        <v>22</v>
      </c>
      <c r="N47" s="76">
        <f>products_parts[[#This Row],[Price per Cell]]*products_parts[[#This Row],[Total '# of Caps]]</f>
        <v>726</v>
      </c>
      <c r="O47" s="77">
        <f>products_parts[[#This Row],[Calculated Volume]]*products_parts[[#This Row],[Total '# of Caps]]</f>
        <v>0.685608</v>
      </c>
      <c r="P47" s="77">
        <f>products_parts[[#This Row],[weight]]*products_parts[[#This Row],[Total '# of Caps]]</f>
        <v>0</v>
      </c>
      <c r="Q47" s="78" t="b">
        <f>AND(products_parts[[#This Row],[Height]]&gt;MIN(Calculations!$K$2,Calculations!$L$2),products_parts[[#This Row],[Height]]&lt;MAX(Calculations!$K$2,Calculations!$L$2))</f>
        <v>1</v>
      </c>
      <c r="R47" s="86">
        <f>IF(ISNUMBER(SEARCH("TPL",products_parts[[#This Row],[series]])),1,IF(products_parts[[#This Row],[series]]="PC",1,IF(ISNUMBER(SEARCH("PBL",products_parts[[#This Row],[series]])),2,2)))</f>
        <v>2</v>
      </c>
      <c r="S47" s="86" t="str">
        <f>IF(TempRange=2,IF(products_parts[[#This Row],[voltage2]]=0,"0","1"),"1")</f>
        <v>1</v>
      </c>
      <c r="T47" s="79">
        <f>IF(TempRange=1,products_parts[voltage],products_parts[voltage2])</f>
        <v>10.8</v>
      </c>
      <c r="U47" s="79" t="str">
        <f>IF(ISNUMBER(SEARCH("PBL ",products_parts[series])),"PBL",products_parts[series])</f>
        <v>PBLS</v>
      </c>
      <c r="V47" s="87" t="s">
        <v>84</v>
      </c>
      <c r="W47" s="87" t="s">
        <v>90</v>
      </c>
      <c r="X47" s="68">
        <v>10.8</v>
      </c>
      <c r="Y47" s="68">
        <v>0</v>
      </c>
      <c r="Z47" s="68">
        <v>5500000</v>
      </c>
      <c r="AA47" s="68">
        <v>240</v>
      </c>
      <c r="AB47" s="68">
        <v>1.41</v>
      </c>
      <c r="AC47" s="68">
        <v>0</v>
      </c>
      <c r="AD47" s="68">
        <v>53</v>
      </c>
      <c r="AE47" s="68">
        <v>0</v>
      </c>
      <c r="AF47" s="68">
        <v>42</v>
      </c>
      <c r="AG47" s="68">
        <v>14</v>
      </c>
      <c r="AH47" s="68">
        <v>0</v>
      </c>
      <c r="AI47" s="87" t="s">
        <v>37</v>
      </c>
      <c r="AJ47" s="87" t="s">
        <v>156</v>
      </c>
      <c r="AK47" s="68">
        <v>0</v>
      </c>
      <c r="AL47" s="68">
        <v>33</v>
      </c>
      <c r="AS47" s="38"/>
    </row>
    <row r="48" spans="1:45" s="37" customFormat="1" x14ac:dyDescent="0.25">
      <c r="A48" s="84">
        <f>products_parts[[#This Row],[Total Price]]+ROW()*0.0001</f>
        <v>653.40480000000002</v>
      </c>
      <c r="B48" s="75">
        <f>products_parts[[#This Row],[cap_uf]]/1000000</f>
        <v>7</v>
      </c>
      <c r="C48" s="93">
        <f>products_parts[[#This Row],[Cap]]*products_parts[Total Parallel]/products_parts[Cells in Series]</f>
        <v>31.5</v>
      </c>
      <c r="D48" s="75">
        <f>PI()*((products_parts[[#This Row],[diameter]]/2)^2)*products_parts[[#This Row],[length]]/1000000</f>
        <v>0</v>
      </c>
      <c r="E48" s="75">
        <f>IF(products_parts[[#This Row],[Volume (L)]]=0,products_parts[[#This Row],[Height]]*products_parts[[#This Row],[length]]*products_parts[[#This Row],[Width Total]]/1000000,products_parts[[#This Row],[Volume (L)]])</f>
        <v>3.4132000000000003E-2</v>
      </c>
      <c r="F48" s="75">
        <f>products_parts[esr_dc]*products_parts[Cells in Series]/products_parts[Total Parallel]</f>
        <v>47.111111111111114</v>
      </c>
      <c r="G48" s="75">
        <f>IF(products_parts[[#This Row],[height2]]=0,products_parts[[#This Row],[length]]-products_parts[[#This Row],[lead_space_s]],products_parts[[#This Row],[height2]])</f>
        <v>46</v>
      </c>
      <c r="H48" s="85">
        <f>IF(products_parts[[#This Row],[thickness]]=0,IF(products_parts[[#This Row],[width]]=0,products_parts[[#This Row],[diameter]],products_parts[[#This Row],[width]]),products_parts[[#This Row],[thickness]])</f>
        <v>14</v>
      </c>
      <c r="I48" s="85">
        <f>IF(products_parts[[#This Row],[voltage]]=0,1000,ROUNDUP(WorkingV/products_parts[Operating Voltage (temp)],0))</f>
        <v>2</v>
      </c>
      <c r="J48" s="75">
        <f>ROUNDUP(Constant/(WorkingV-MinV)*((products_parts[esr_dc]/1000*products_parts[[#This Row],[Cap]])+Time)*products_parts[[#This Row],[Cells in Series]]/products_parts[[#This Row],[Cap]],0)</f>
        <v>9</v>
      </c>
      <c r="K48" s="78">
        <f>ROUNDUP(((Constant/WorkingV+Constant/MinV)/2)*(((products_parts[esr_dc]/1000*products_parts[Cap]))+Time)/(WorkingV-MinV)*(products_parts[[#This Row],[Cells in Series]]/products_parts[Cap]),0)</f>
        <v>1</v>
      </c>
      <c r="L48" s="79">
        <f>IF(Calculations!$J$2=1,products_parts[Cells in Parallel],products_parts[Parallel CP])</f>
        <v>9</v>
      </c>
      <c r="M48" s="75">
        <f>products_parts[[#This Row],[Cells in Series]]*products_parts[[#This Row],[Total Parallel]]</f>
        <v>18</v>
      </c>
      <c r="N48" s="76">
        <f>products_parts[[#This Row],[Price per Cell]]*products_parts[[#This Row],[Total '# of Caps]]</f>
        <v>653.4</v>
      </c>
      <c r="O48" s="77">
        <f>products_parts[[#This Row],[Calculated Volume]]*products_parts[[#This Row],[Total '# of Caps]]</f>
        <v>0.61437600000000003</v>
      </c>
      <c r="P48" s="77">
        <f>products_parts[[#This Row],[weight]]*products_parts[[#This Row],[Total '# of Caps]]</f>
        <v>0</v>
      </c>
      <c r="Q48" s="78" t="b">
        <f>AND(products_parts[[#This Row],[Height]]&gt;MIN(Calculations!$K$2,Calculations!$L$2),products_parts[[#This Row],[Height]]&lt;MAX(Calculations!$K$2,Calculations!$L$2))</f>
        <v>1</v>
      </c>
      <c r="R48" s="86">
        <f>IF(ISNUMBER(SEARCH("TPL",products_parts[[#This Row],[series]])),1,IF(products_parts[[#This Row],[series]]="PC",1,IF(ISNUMBER(SEARCH("PBL",products_parts[[#This Row],[series]])),2,2)))</f>
        <v>2</v>
      </c>
      <c r="S48" s="86" t="str">
        <f>IF(TempRange=2,IF(products_parts[[#This Row],[voltage2]]=0,"0","1"),"1")</f>
        <v>1</v>
      </c>
      <c r="T48" s="79">
        <f>IF(TempRange=1,products_parts[voltage],products_parts[voltage2])</f>
        <v>10.8</v>
      </c>
      <c r="U48" s="79" t="str">
        <f>IF(ISNUMBER(SEARCH("PBL ",products_parts[series])),"PBL",products_parts[series])</f>
        <v>PBLS</v>
      </c>
      <c r="V48" s="87" t="s">
        <v>84</v>
      </c>
      <c r="W48" s="87" t="s">
        <v>94</v>
      </c>
      <c r="X48" s="68">
        <v>10.8</v>
      </c>
      <c r="Y48" s="68">
        <v>0</v>
      </c>
      <c r="Z48" s="68">
        <v>7000000</v>
      </c>
      <c r="AA48" s="68">
        <v>212</v>
      </c>
      <c r="AB48" s="68">
        <v>1.41</v>
      </c>
      <c r="AC48" s="68">
        <v>0</v>
      </c>
      <c r="AD48" s="68">
        <v>53</v>
      </c>
      <c r="AE48" s="68">
        <v>0</v>
      </c>
      <c r="AF48" s="68">
        <v>46</v>
      </c>
      <c r="AG48" s="68">
        <v>14</v>
      </c>
      <c r="AH48" s="68">
        <v>0</v>
      </c>
      <c r="AI48" s="87" t="s">
        <v>37</v>
      </c>
      <c r="AJ48" s="87" t="s">
        <v>156</v>
      </c>
      <c r="AK48" s="68">
        <v>0</v>
      </c>
      <c r="AL48" s="68">
        <v>36.299999999999997</v>
      </c>
      <c r="AS48" s="38"/>
    </row>
    <row r="49" spans="1:45" s="37" customFormat="1" x14ac:dyDescent="0.25">
      <c r="A49" s="84">
        <f>products_parts[[#This Row],[Total Price]]+ROW()*0.0001</f>
        <v>554.4049</v>
      </c>
      <c r="B49" s="75">
        <f>products_parts[[#This Row],[cap_uf]]/1000000</f>
        <v>8.5</v>
      </c>
      <c r="C49" s="93">
        <f>products_parts[[#This Row],[Cap]]*products_parts[Total Parallel]/products_parts[Cells in Series]</f>
        <v>29.75</v>
      </c>
      <c r="D49" s="75">
        <f>PI()*((products_parts[[#This Row],[diameter]]/2)^2)*products_parts[[#This Row],[length]]/1000000</f>
        <v>0</v>
      </c>
      <c r="E49" s="75">
        <f>IF(products_parts[[#This Row],[Volume (L)]]=0,products_parts[[#This Row],[Height]]*products_parts[[#This Row],[length]]*products_parts[[#This Row],[Width Total]]/1000000,products_parts[[#This Row],[Volume (L)]])</f>
        <v>3.8584E-2</v>
      </c>
      <c r="F49" s="75">
        <f>products_parts[esr_dc]*products_parts[Cells in Series]/products_parts[Total Parallel]</f>
        <v>51.428571428571431</v>
      </c>
      <c r="G49" s="75">
        <f>IF(products_parts[[#This Row],[height2]]=0,products_parts[[#This Row],[length]]-products_parts[[#This Row],[lead_space_s]],products_parts[[#This Row],[height2]])</f>
        <v>52</v>
      </c>
      <c r="H49" s="85">
        <f>IF(products_parts[[#This Row],[thickness]]=0,IF(products_parts[[#This Row],[width]]=0,products_parts[[#This Row],[diameter]],products_parts[[#This Row],[width]]),products_parts[[#This Row],[thickness]])</f>
        <v>14</v>
      </c>
      <c r="I49" s="85">
        <f>IF(products_parts[[#This Row],[voltage]]=0,1000,ROUNDUP(WorkingV/products_parts[Operating Voltage (temp)],0))</f>
        <v>2</v>
      </c>
      <c r="J49" s="75">
        <f>ROUNDUP(Constant/(WorkingV-MinV)*((products_parts[esr_dc]/1000*products_parts[[#This Row],[Cap]])+Time)*products_parts[[#This Row],[Cells in Series]]/products_parts[[#This Row],[Cap]],0)</f>
        <v>7</v>
      </c>
      <c r="K49" s="79">
        <f>ROUNDUP(((Constant/WorkingV+Constant/MinV)/2)*(((products_parts[esr_dc]/1000*products_parts[Cap]))+Time)/(WorkingV-MinV)*(products_parts[[#This Row],[Cells in Series]]/products_parts[Cap]),0)</f>
        <v>1</v>
      </c>
      <c r="L49" s="79">
        <f>IF(Calculations!$J$2=1,products_parts[Cells in Parallel],products_parts[Parallel CP])</f>
        <v>7</v>
      </c>
      <c r="M49" s="75">
        <f>products_parts[[#This Row],[Cells in Series]]*products_parts[[#This Row],[Total Parallel]]</f>
        <v>14</v>
      </c>
      <c r="N49" s="76">
        <f>products_parts[[#This Row],[Price per Cell]]*products_parts[[#This Row],[Total '# of Caps]]</f>
        <v>554.4</v>
      </c>
      <c r="O49" s="77">
        <f>products_parts[[#This Row],[Calculated Volume]]*products_parts[[#This Row],[Total '# of Caps]]</f>
        <v>0.54017599999999999</v>
      </c>
      <c r="P49" s="77">
        <f>products_parts[[#This Row],[weight]]*products_parts[[#This Row],[Total '# of Caps]]</f>
        <v>0</v>
      </c>
      <c r="Q49" s="78" t="b">
        <f>AND(products_parts[[#This Row],[Height]]&gt;MIN(Calculations!$K$2,Calculations!$L$2),products_parts[[#This Row],[Height]]&lt;MAX(Calculations!$K$2,Calculations!$L$2))</f>
        <v>1</v>
      </c>
      <c r="R49" s="86">
        <f>IF(ISNUMBER(SEARCH("TPL",products_parts[[#This Row],[series]])),1,IF(products_parts[[#This Row],[series]]="PC",1,IF(ISNUMBER(SEARCH("PBL",products_parts[[#This Row],[series]])),2,2)))</f>
        <v>2</v>
      </c>
      <c r="S49" s="78" t="str">
        <f>IF(TempRange=2,IF(products_parts[[#This Row],[voltage2]]=0,"0","1"),"1")</f>
        <v>1</v>
      </c>
      <c r="T49" s="78">
        <f>IF(TempRange=1,products_parts[voltage],products_parts[voltage2])</f>
        <v>10.8</v>
      </c>
      <c r="U49" s="79" t="str">
        <f>IF(ISNUMBER(SEARCH("PBL ",products_parts[series])),"PBL",products_parts[series])</f>
        <v>PBLS</v>
      </c>
      <c r="V49" s="87" t="s">
        <v>84</v>
      </c>
      <c r="W49" s="87" t="s">
        <v>98</v>
      </c>
      <c r="X49" s="68">
        <v>10.8</v>
      </c>
      <c r="Y49" s="68">
        <v>0</v>
      </c>
      <c r="Z49" s="68">
        <v>8500000</v>
      </c>
      <c r="AA49" s="68">
        <v>180</v>
      </c>
      <c r="AB49" s="68">
        <v>1.42</v>
      </c>
      <c r="AC49" s="68">
        <v>0</v>
      </c>
      <c r="AD49" s="68">
        <v>53</v>
      </c>
      <c r="AE49" s="68">
        <v>0</v>
      </c>
      <c r="AF49" s="68">
        <v>52</v>
      </c>
      <c r="AG49" s="68">
        <v>14</v>
      </c>
      <c r="AH49" s="68">
        <v>0</v>
      </c>
      <c r="AI49" s="87" t="s">
        <v>37</v>
      </c>
      <c r="AJ49" s="87" t="s">
        <v>156</v>
      </c>
      <c r="AK49" s="68">
        <v>0</v>
      </c>
      <c r="AL49" s="68">
        <v>39.6</v>
      </c>
      <c r="AS49" s="38"/>
    </row>
    <row r="50" spans="1:45" s="37" customFormat="1" x14ac:dyDescent="0.25">
      <c r="A50" s="84">
        <f>products_parts[[#This Row],[Total Price]]+ROW()*0.0001</f>
        <v>514.80499999999995</v>
      </c>
      <c r="B50" s="75">
        <f>products_parts[[#This Row],[cap_uf]]/1000000</f>
        <v>10</v>
      </c>
      <c r="C50" s="93">
        <f>products_parts[[#This Row],[Cap]]*products_parts[Total Parallel]/products_parts[Cells in Series]</f>
        <v>30</v>
      </c>
      <c r="D50" s="75">
        <f>PI()*((products_parts[[#This Row],[diameter]]/2)^2)*products_parts[[#This Row],[length]]/1000000</f>
        <v>0</v>
      </c>
      <c r="E50" s="75">
        <f>IF(products_parts[[#This Row],[Volume (L)]]=0,products_parts[[#This Row],[Height]]*products_parts[[#This Row],[length]]*products_parts[[#This Row],[Width Total]]/1000000,products_parts[[#This Row],[Volume (L)]])</f>
        <v>3.8584E-2</v>
      </c>
      <c r="F50" s="75">
        <f>products_parts[esr_dc]*products_parts[Cells in Series]/products_parts[Total Parallel]</f>
        <v>53.333333333333336</v>
      </c>
      <c r="G50" s="75">
        <f>IF(products_parts[[#This Row],[height2]]=0,products_parts[[#This Row],[length]]-products_parts[[#This Row],[lead_space_s]],products_parts[[#This Row],[height2]])</f>
        <v>52</v>
      </c>
      <c r="H50" s="85">
        <f>IF(products_parts[[#This Row],[thickness]]=0,IF(products_parts[[#This Row],[width]]=0,products_parts[[#This Row],[diameter]],products_parts[[#This Row],[width]]),products_parts[[#This Row],[thickness]])</f>
        <v>14</v>
      </c>
      <c r="I50" s="85">
        <f>IF(products_parts[[#This Row],[voltage]]=0,1000,ROUNDUP(WorkingV/products_parts[Operating Voltage (temp)],0))</f>
        <v>2</v>
      </c>
      <c r="J50" s="75">
        <f>ROUNDUP(Constant/(WorkingV-MinV)*((products_parts[esr_dc]/1000*products_parts[[#This Row],[Cap]])+Time)*products_parts[[#This Row],[Cells in Series]]/products_parts[[#This Row],[Cap]],0)</f>
        <v>6</v>
      </c>
      <c r="K50" s="79">
        <f>ROUNDUP(((Constant/WorkingV+Constant/MinV)/2)*(((products_parts[esr_dc]/1000*products_parts[Cap]))+Time)/(WorkingV-MinV)*(products_parts[[#This Row],[Cells in Series]]/products_parts[Cap]),0)</f>
        <v>1</v>
      </c>
      <c r="L50" s="79">
        <f>IF(Calculations!$J$2=1,products_parts[Cells in Parallel],products_parts[Parallel CP])</f>
        <v>6</v>
      </c>
      <c r="M50" s="75">
        <f>products_parts[[#This Row],[Cells in Series]]*products_parts[[#This Row],[Total Parallel]]</f>
        <v>12</v>
      </c>
      <c r="N50" s="76">
        <f>products_parts[[#This Row],[Price per Cell]]*products_parts[[#This Row],[Total '# of Caps]]</f>
        <v>514.79999999999995</v>
      </c>
      <c r="O50" s="77">
        <f>products_parts[[#This Row],[Calculated Volume]]*products_parts[[#This Row],[Total '# of Caps]]</f>
        <v>0.46300799999999998</v>
      </c>
      <c r="P50" s="77">
        <f>products_parts[[#This Row],[weight]]*products_parts[[#This Row],[Total '# of Caps]]</f>
        <v>0</v>
      </c>
      <c r="Q50" s="78" t="b">
        <f>AND(products_parts[[#This Row],[Height]]&gt;MIN(Calculations!$K$2,Calculations!$L$2),products_parts[[#This Row],[Height]]&lt;MAX(Calculations!$K$2,Calculations!$L$2))</f>
        <v>1</v>
      </c>
      <c r="R50" s="86">
        <f>IF(ISNUMBER(SEARCH("TPL",products_parts[[#This Row],[series]])),1,IF(products_parts[[#This Row],[series]]="PC",1,IF(ISNUMBER(SEARCH("PBL",products_parts[[#This Row],[series]])),2,2)))</f>
        <v>2</v>
      </c>
      <c r="S50" s="86" t="str">
        <f>IF(TempRange=2,IF(products_parts[[#This Row],[voltage2]]=0,"0","1"),"1")</f>
        <v>1</v>
      </c>
      <c r="T50" s="78">
        <f>IF(TempRange=1,products_parts[voltage],products_parts[voltage2])</f>
        <v>10.8</v>
      </c>
      <c r="U50" s="79" t="str">
        <f>IF(ISNUMBER(SEARCH("PBL ",products_parts[series])),"PBL",products_parts[series])</f>
        <v>PBLS</v>
      </c>
      <c r="V50" s="87" t="s">
        <v>84</v>
      </c>
      <c r="W50" s="87" t="s">
        <v>102</v>
      </c>
      <c r="X50" s="68">
        <v>10.8</v>
      </c>
      <c r="Y50" s="68">
        <v>0</v>
      </c>
      <c r="Z50" s="68">
        <v>10000000</v>
      </c>
      <c r="AA50" s="68">
        <v>160</v>
      </c>
      <c r="AB50" s="68">
        <v>1.43</v>
      </c>
      <c r="AC50" s="68">
        <v>0</v>
      </c>
      <c r="AD50" s="68">
        <v>53</v>
      </c>
      <c r="AE50" s="68">
        <v>0</v>
      </c>
      <c r="AF50" s="68">
        <v>52</v>
      </c>
      <c r="AG50" s="68">
        <v>14</v>
      </c>
      <c r="AH50" s="68">
        <v>0</v>
      </c>
      <c r="AI50" s="87" t="s">
        <v>37</v>
      </c>
      <c r="AJ50" s="87" t="s">
        <v>156</v>
      </c>
      <c r="AK50" s="68">
        <v>0</v>
      </c>
      <c r="AL50" s="68">
        <v>42.9</v>
      </c>
      <c r="AS50" s="38"/>
    </row>
    <row r="51" spans="1:45" s="37" customFormat="1" x14ac:dyDescent="0.25">
      <c r="A51" s="84">
        <f>products_parts[[#This Row],[Total Price]]+ROW()*0.0001</f>
        <v>554.40510000000006</v>
      </c>
      <c r="B51" s="75">
        <f>products_parts[[#This Row],[cap_uf]]/1000000</f>
        <v>11.25</v>
      </c>
      <c r="C51" s="93">
        <f>products_parts[[#This Row],[Cap]]*products_parts[Total Parallel]/products_parts[Cells in Series]</f>
        <v>33.75</v>
      </c>
      <c r="D51" s="75">
        <f>PI()*((products_parts[[#This Row],[diameter]]/2)^2)*products_parts[[#This Row],[length]]/1000000</f>
        <v>0</v>
      </c>
      <c r="E51" s="75">
        <f>IF(products_parts[[#This Row],[Volume (L)]]=0,products_parts[[#This Row],[Height]]*products_parts[[#This Row],[length]]*products_parts[[#This Row],[Width Total]]/1000000,products_parts[[#This Row],[Volume (L)]])</f>
        <v>4.5261999999999997E-2</v>
      </c>
      <c r="F51" s="75">
        <f>products_parts[esr_dc]*products_parts[Cells in Series]/products_parts[Total Parallel]</f>
        <v>49.333333333333336</v>
      </c>
      <c r="G51" s="75">
        <f>IF(products_parts[[#This Row],[height2]]=0,products_parts[[#This Row],[length]]-products_parts[[#This Row],[lead_space_s]],products_parts[[#This Row],[height2]])</f>
        <v>61</v>
      </c>
      <c r="H51" s="85">
        <f>IF(products_parts[[#This Row],[thickness]]=0,IF(products_parts[[#This Row],[width]]=0,products_parts[[#This Row],[diameter]],products_parts[[#This Row],[width]]),products_parts[[#This Row],[thickness]])</f>
        <v>14</v>
      </c>
      <c r="I51" s="85">
        <f>IF(products_parts[[#This Row],[voltage]]=0,1000,ROUNDUP(WorkingV/products_parts[Operating Voltage (temp)],0))</f>
        <v>2</v>
      </c>
      <c r="J51" s="75">
        <f>ROUNDUP(Constant/(WorkingV-MinV)*((products_parts[esr_dc]/1000*products_parts[[#This Row],[Cap]])+Time)*products_parts[[#This Row],[Cells in Series]]/products_parts[[#This Row],[Cap]],0)</f>
        <v>6</v>
      </c>
      <c r="K51" s="78">
        <f>ROUNDUP(((Constant/WorkingV+Constant/MinV)/2)*(((products_parts[esr_dc]/1000*products_parts[Cap]))+Time)/(WorkingV-MinV)*(products_parts[[#This Row],[Cells in Series]]/products_parts[Cap]),0)</f>
        <v>1</v>
      </c>
      <c r="L51" s="79">
        <f>IF(Calculations!$J$2=1,products_parts[Cells in Parallel],products_parts[Parallel CP])</f>
        <v>6</v>
      </c>
      <c r="M51" s="75">
        <f>products_parts[[#This Row],[Cells in Series]]*products_parts[[#This Row],[Total Parallel]]</f>
        <v>12</v>
      </c>
      <c r="N51" s="76">
        <f>products_parts[[#This Row],[Price per Cell]]*products_parts[[#This Row],[Total '# of Caps]]</f>
        <v>554.40000000000009</v>
      </c>
      <c r="O51" s="77">
        <f>products_parts[[#This Row],[Calculated Volume]]*products_parts[[#This Row],[Total '# of Caps]]</f>
        <v>0.54314399999999996</v>
      </c>
      <c r="P51" s="77">
        <f>products_parts[[#This Row],[weight]]*products_parts[[#This Row],[Total '# of Caps]]</f>
        <v>0</v>
      </c>
      <c r="Q51" s="78" t="b">
        <f>AND(products_parts[[#This Row],[Height]]&gt;MIN(Calculations!$K$2,Calculations!$L$2),products_parts[[#This Row],[Height]]&lt;MAX(Calculations!$K$2,Calculations!$L$2))</f>
        <v>1</v>
      </c>
      <c r="R51" s="86">
        <f>IF(ISNUMBER(SEARCH("TPL",products_parts[[#This Row],[series]])),1,IF(products_parts[[#This Row],[series]]="PC",1,IF(ISNUMBER(SEARCH("PBL",products_parts[[#This Row],[series]])),2,2)))</f>
        <v>2</v>
      </c>
      <c r="S51" s="86" t="str">
        <f>IF(TempRange=2,IF(products_parts[[#This Row],[voltage2]]=0,"0","1"),"1")</f>
        <v>1</v>
      </c>
      <c r="T51" s="79">
        <f>IF(TempRange=1,products_parts[voltage],products_parts[voltage2])</f>
        <v>10.8</v>
      </c>
      <c r="U51" s="79" t="str">
        <f>IF(ISNUMBER(SEARCH("PBL ",products_parts[series])),"PBL",products_parts[series])</f>
        <v>PBLS</v>
      </c>
      <c r="V51" s="87" t="s">
        <v>84</v>
      </c>
      <c r="W51" s="87" t="s">
        <v>106</v>
      </c>
      <c r="X51" s="68">
        <v>10.8</v>
      </c>
      <c r="Y51" s="68">
        <v>0</v>
      </c>
      <c r="Z51" s="68">
        <v>11250000</v>
      </c>
      <c r="AA51" s="68">
        <v>148</v>
      </c>
      <c r="AB51" s="68">
        <v>1.45</v>
      </c>
      <c r="AC51" s="68">
        <v>0</v>
      </c>
      <c r="AD51" s="68">
        <v>53</v>
      </c>
      <c r="AE51" s="68">
        <v>0</v>
      </c>
      <c r="AF51" s="68">
        <v>61</v>
      </c>
      <c r="AG51" s="68">
        <v>14</v>
      </c>
      <c r="AH51" s="68">
        <v>0</v>
      </c>
      <c r="AI51" s="87" t="s">
        <v>37</v>
      </c>
      <c r="AJ51" s="87" t="s">
        <v>156</v>
      </c>
      <c r="AK51" s="68">
        <v>0</v>
      </c>
      <c r="AL51" s="68">
        <v>46.2</v>
      </c>
      <c r="AS51" s="38"/>
    </row>
    <row r="52" spans="1:45" s="37" customFormat="1" x14ac:dyDescent="0.25">
      <c r="A52" s="84">
        <f>products_parts[[#This Row],[Total Price]]+ROW()*0.0001</f>
        <v>495.0052</v>
      </c>
      <c r="B52" s="75">
        <f>products_parts[[#This Row],[cap_uf]]/1000000</f>
        <v>12.5</v>
      </c>
      <c r="C52" s="93">
        <f>products_parts[[#This Row],[Cap]]*products_parts[Total Parallel]/products_parts[Cells in Series]</f>
        <v>31.25</v>
      </c>
      <c r="D52" s="75">
        <f>PI()*((products_parts[[#This Row],[diameter]]/2)^2)*products_parts[[#This Row],[length]]/1000000</f>
        <v>0</v>
      </c>
      <c r="E52" s="75">
        <f>IF(products_parts[[#This Row],[Volume (L)]]=0,products_parts[[#This Row],[Height]]*products_parts[[#This Row],[length]]*products_parts[[#This Row],[Width Total]]/1000000,products_parts[[#This Row],[Volume (L)]])</f>
        <v>4.8972000000000002E-2</v>
      </c>
      <c r="F52" s="75">
        <f>products_parts[esr_dc]*products_parts[Cells in Series]/products_parts[Total Parallel]</f>
        <v>56</v>
      </c>
      <c r="G52" s="75">
        <f>IF(products_parts[[#This Row],[height2]]=0,products_parts[[#This Row],[length]]-products_parts[[#This Row],[lead_space_s]],products_parts[[#This Row],[height2]])</f>
        <v>66</v>
      </c>
      <c r="H52" s="85">
        <f>IF(products_parts[[#This Row],[thickness]]=0,IF(products_parts[[#This Row],[width]]=0,products_parts[[#This Row],[diameter]],products_parts[[#This Row],[width]]),products_parts[[#This Row],[thickness]])</f>
        <v>14</v>
      </c>
      <c r="I52" s="85">
        <f>IF(products_parts[[#This Row],[voltage]]=0,1000,ROUNDUP(WorkingV/products_parts[Operating Voltage (temp)],0))</f>
        <v>2</v>
      </c>
      <c r="J52" s="75">
        <f>ROUNDUP(Constant/(WorkingV-MinV)*((products_parts[esr_dc]/1000*products_parts[[#This Row],[Cap]])+Time)*products_parts[[#This Row],[Cells in Series]]/products_parts[[#This Row],[Cap]],0)</f>
        <v>5</v>
      </c>
      <c r="K52" s="79">
        <f>ROUNDUP(((Constant/WorkingV+Constant/MinV)/2)*(((products_parts[esr_dc]/1000*products_parts[Cap]))+Time)/(WorkingV-MinV)*(products_parts[[#This Row],[Cells in Series]]/products_parts[Cap]),0)</f>
        <v>1</v>
      </c>
      <c r="L52" s="79">
        <f>IF(Calculations!$J$2=1,products_parts[Cells in Parallel],products_parts[Parallel CP])</f>
        <v>5</v>
      </c>
      <c r="M52" s="75">
        <f>products_parts[[#This Row],[Cells in Series]]*products_parts[[#This Row],[Total Parallel]]</f>
        <v>10</v>
      </c>
      <c r="N52" s="76">
        <f>products_parts[[#This Row],[Price per Cell]]*products_parts[[#This Row],[Total '# of Caps]]</f>
        <v>495</v>
      </c>
      <c r="O52" s="77">
        <f>products_parts[[#This Row],[Calculated Volume]]*products_parts[[#This Row],[Total '# of Caps]]</f>
        <v>0.48972000000000004</v>
      </c>
      <c r="P52" s="77">
        <f>products_parts[[#This Row],[weight]]*products_parts[[#This Row],[Total '# of Caps]]</f>
        <v>0</v>
      </c>
      <c r="Q52" s="78" t="b">
        <f>AND(products_parts[[#This Row],[Height]]&gt;MIN(Calculations!$K$2,Calculations!$L$2),products_parts[[#This Row],[Height]]&lt;MAX(Calculations!$K$2,Calculations!$L$2))</f>
        <v>1</v>
      </c>
      <c r="R52" s="86">
        <f>IF(ISNUMBER(SEARCH("TPL",products_parts[[#This Row],[series]])),1,IF(products_parts[[#This Row],[series]]="PC",1,IF(ISNUMBER(SEARCH("PBL",products_parts[[#This Row],[series]])),2,2)))</f>
        <v>2</v>
      </c>
      <c r="S52" s="86" t="str">
        <f>IF(TempRange=2,IF(products_parts[[#This Row],[voltage2]]=0,"0","1"),"1")</f>
        <v>1</v>
      </c>
      <c r="T52" s="78">
        <f>IF(TempRange=1,products_parts[voltage],products_parts[voltage2])</f>
        <v>10.8</v>
      </c>
      <c r="U52" s="79" t="str">
        <f>IF(ISNUMBER(SEARCH("PBL ",products_parts[series])),"PBL",products_parts[series])</f>
        <v>PBLS</v>
      </c>
      <c r="V52" s="87" t="s">
        <v>84</v>
      </c>
      <c r="W52" s="87" t="s">
        <v>110</v>
      </c>
      <c r="X52" s="68">
        <v>10.8</v>
      </c>
      <c r="Y52" s="68">
        <v>0</v>
      </c>
      <c r="Z52" s="68">
        <v>12500000</v>
      </c>
      <c r="AA52" s="68">
        <v>140</v>
      </c>
      <c r="AB52" s="68">
        <v>1.48</v>
      </c>
      <c r="AC52" s="68">
        <v>0</v>
      </c>
      <c r="AD52" s="68">
        <v>53</v>
      </c>
      <c r="AE52" s="68">
        <v>0</v>
      </c>
      <c r="AF52" s="68">
        <v>66</v>
      </c>
      <c r="AG52" s="68">
        <v>14</v>
      </c>
      <c r="AH52" s="68">
        <v>0</v>
      </c>
      <c r="AI52" s="87" t="s">
        <v>37</v>
      </c>
      <c r="AJ52" s="87" t="s">
        <v>156</v>
      </c>
      <c r="AK52" s="68">
        <v>0</v>
      </c>
      <c r="AL52" s="68">
        <v>49.5</v>
      </c>
      <c r="AS52" s="38"/>
    </row>
    <row r="53" spans="1:45" s="37" customFormat="1" x14ac:dyDescent="0.25">
      <c r="A53" s="84">
        <f>products_parts[[#This Row],[Total Price]]+ROW()*0.0001</f>
        <v>220.00530000000001</v>
      </c>
      <c r="B53" s="75">
        <f>products_parts[[#This Row],[cap_uf]]/1000000</f>
        <v>150</v>
      </c>
      <c r="C53" s="93">
        <f>products_parts[[#This Row],[Cap]]*products_parts[Total Parallel]/products_parts[Cells in Series]</f>
        <v>75</v>
      </c>
      <c r="D53" s="75">
        <f>PI()*((products_parts[[#This Row],[diameter]]/2)^2)*products_parts[[#This Row],[length]]/1000000</f>
        <v>0</v>
      </c>
      <c r="E53" s="75">
        <f>IF(products_parts[[#This Row],[Volume (L)]]=0,products_parts[[#This Row],[Height]]*products_parts[[#This Row],[length]]*products_parts[[#This Row],[Width Total]]/1000000,products_parts[[#This Row],[Volume (L)]])</f>
        <v>0.60681600000000002</v>
      </c>
      <c r="F53" s="75">
        <f>products_parts[esr_dc]*products_parts[Cells in Series]/products_parts[Total Parallel]</f>
        <v>40</v>
      </c>
      <c r="G53" s="75">
        <f>IF(products_parts[[#This Row],[height2]]=0,products_parts[[#This Row],[length]]-products_parts[[#This Row],[lead_space_s]],products_parts[[#This Row],[height2]])</f>
        <v>86</v>
      </c>
      <c r="H53" s="85">
        <f>IF(products_parts[[#This Row],[thickness]]=0,IF(products_parts[[#This Row],[width]]=0,products_parts[[#This Row],[diameter]],products_parts[[#This Row],[width]]),products_parts[[#This Row],[thickness]])</f>
        <v>42</v>
      </c>
      <c r="I53" s="85">
        <f>IF(products_parts[[#This Row],[voltage]]=0,1000,ROUNDUP(WorkingV/products_parts[Operating Voltage (temp)],0))</f>
        <v>2</v>
      </c>
      <c r="J53" s="75">
        <f>ROUNDUP(Constant/(WorkingV-MinV)*((products_parts[esr_dc]/1000*products_parts[[#This Row],[Cap]])+Time)*products_parts[[#This Row],[Cells in Series]]/products_parts[[#This Row],[Cap]],0)</f>
        <v>1</v>
      </c>
      <c r="K53" s="78">
        <f>ROUNDUP(((Constant/WorkingV+Constant/MinV)/2)*(((products_parts[esr_dc]/1000*products_parts[Cap]))+Time)/(WorkingV-MinV)*(products_parts[[#This Row],[Cells in Series]]/products_parts[Cap]),0)</f>
        <v>1</v>
      </c>
      <c r="L53" s="79">
        <f>IF(Calculations!$J$2=1,products_parts[Cells in Parallel],products_parts[Parallel CP])</f>
        <v>1</v>
      </c>
      <c r="M53" s="75">
        <f>products_parts[[#This Row],[Cells in Series]]*products_parts[[#This Row],[Total Parallel]]</f>
        <v>2</v>
      </c>
      <c r="N53" s="76">
        <f>products_parts[[#This Row],[Price per Cell]]*products_parts[[#This Row],[Total '# of Caps]]</f>
        <v>220</v>
      </c>
      <c r="O53" s="77">
        <f>products_parts[[#This Row],[Calculated Volume]]*products_parts[[#This Row],[Total '# of Caps]]</f>
        <v>1.213632</v>
      </c>
      <c r="P53" s="77">
        <f>products_parts[[#This Row],[weight]]*products_parts[[#This Row],[Total '# of Caps]]</f>
        <v>1070</v>
      </c>
      <c r="Q53" s="78" t="b">
        <f>AND(products_parts[[#This Row],[Height]]&gt;MIN(Calculations!$K$2,Calculations!$L$2),products_parts[[#This Row],[Height]]&lt;MAX(Calculations!$K$2,Calculations!$L$2))</f>
        <v>1</v>
      </c>
      <c r="R53" s="86">
        <f>IF(ISNUMBER(SEARCH("TPL",products_parts[[#This Row],[series]])),1,IF(products_parts[[#This Row],[series]]="PC",1,IF(ISNUMBER(SEARCH("PBL",products_parts[[#This Row],[series]])),2,2)))</f>
        <v>2</v>
      </c>
      <c r="S53" s="86" t="str">
        <f>IF(TempRange=2,IF(products_parts[[#This Row],[voltage2]]=0,"0","1"),"1")</f>
        <v>1</v>
      </c>
      <c r="T53" s="79">
        <f>IF(TempRange=1,products_parts[voltage],products_parts[voltage2])</f>
        <v>10.8</v>
      </c>
      <c r="U53" s="79" t="str">
        <f>IF(ISNUMBER(SEARCH("PBL ",products_parts[series])),"PBL",products_parts[series])</f>
        <v>PBLH 12V</v>
      </c>
      <c r="V53" s="87" t="s">
        <v>269</v>
      </c>
      <c r="W53" s="87" t="s">
        <v>273</v>
      </c>
      <c r="X53" s="68">
        <v>10.8</v>
      </c>
      <c r="Y53" s="68">
        <v>0</v>
      </c>
      <c r="Z53" s="68">
        <v>150000000</v>
      </c>
      <c r="AA53" s="68">
        <v>20</v>
      </c>
      <c r="AB53" s="68">
        <v>10</v>
      </c>
      <c r="AC53" s="68">
        <v>0</v>
      </c>
      <c r="AD53" s="68">
        <v>168</v>
      </c>
      <c r="AE53" s="68">
        <v>42</v>
      </c>
      <c r="AF53" s="68">
        <v>86</v>
      </c>
      <c r="AG53" s="68">
        <v>0</v>
      </c>
      <c r="AH53" s="68">
        <v>0</v>
      </c>
      <c r="AI53" s="87" t="s">
        <v>37</v>
      </c>
      <c r="AJ53" s="87" t="s">
        <v>156</v>
      </c>
      <c r="AK53" s="68">
        <v>535</v>
      </c>
      <c r="AL53" s="68">
        <v>110</v>
      </c>
      <c r="AS53" s="38"/>
    </row>
    <row r="54" spans="1:45" s="37" customFormat="1" x14ac:dyDescent="0.25">
      <c r="A54" s="84">
        <f>products_parts[[#This Row],[Total Price]]+ROW()*0.0001</f>
        <v>765.00540000000001</v>
      </c>
      <c r="B54" s="75">
        <f>products_parts[[#This Row],[cap_uf]]/1000000</f>
        <v>3.33</v>
      </c>
      <c r="C54" s="93">
        <f>products_parts[[#This Row],[Cap]]*products_parts[Total Parallel]/products_parts[Cells in Series]</f>
        <v>28.305</v>
      </c>
      <c r="D54" s="75">
        <f>PI()*((products_parts[[#This Row],[diameter]]/2)^2)*products_parts[[#This Row],[length]]/1000000</f>
        <v>0</v>
      </c>
      <c r="E54" s="75">
        <f>IF(products_parts[[#This Row],[Volume (L)]]=0,products_parts[[#This Row],[Height]]*products_parts[[#This Row],[length]]*products_parts[[#This Row],[Width Total]]/1000000,products_parts[[#This Row],[Volume (L)]])</f>
        <v>1.2671999999999999E-2</v>
      </c>
      <c r="F54" s="75">
        <f>products_parts[esr_dc]*products_parts[Cells in Series]/products_parts[Total Parallel]</f>
        <v>37.058823529411768</v>
      </c>
      <c r="G54" s="75">
        <f>IF(products_parts[[#This Row],[height2]]=0,products_parts[[#This Row],[length]]-products_parts[[#This Row],[lead_space_s]],products_parts[[#This Row],[height2]])</f>
        <v>36</v>
      </c>
      <c r="H54" s="85">
        <f>IF(products_parts[[#This Row],[thickness]]=0,IF(products_parts[[#This Row],[width]]=0,products_parts[[#This Row],[diameter]],products_parts[[#This Row],[width]]),products_parts[[#This Row],[thickness]])</f>
        <v>11</v>
      </c>
      <c r="I54" s="85">
        <f>IF(products_parts[[#This Row],[voltage]]=0,1000,ROUNDUP(WorkingV/products_parts[Operating Voltage (temp)],0))</f>
        <v>2</v>
      </c>
      <c r="J54" s="75">
        <f>ROUNDUP(Constant/(WorkingV-MinV)*((products_parts[esr_dc]/1000*products_parts[[#This Row],[Cap]])+Time)*products_parts[[#This Row],[Cells in Series]]/products_parts[[#This Row],[Cap]],0)</f>
        <v>17</v>
      </c>
      <c r="K54" s="79">
        <f>ROUNDUP(((Constant/WorkingV+Constant/MinV)/2)*(((products_parts[esr_dc]/1000*products_parts[Cap]))+Time)/(WorkingV-MinV)*(products_parts[[#This Row],[Cells in Series]]/products_parts[Cap]),0)</f>
        <v>2</v>
      </c>
      <c r="L54" s="79">
        <f>IF(Calculations!$J$2=1,products_parts[Cells in Parallel],products_parts[Parallel CP])</f>
        <v>17</v>
      </c>
      <c r="M54" s="75">
        <f>products_parts[[#This Row],[Cells in Series]]*products_parts[[#This Row],[Total Parallel]]</f>
        <v>34</v>
      </c>
      <c r="N54" s="76">
        <f>products_parts[[#This Row],[Price per Cell]]*products_parts[[#This Row],[Total '# of Caps]]</f>
        <v>765</v>
      </c>
      <c r="O54" s="77">
        <f>products_parts[[#This Row],[Calculated Volume]]*products_parts[[#This Row],[Total '# of Caps]]</f>
        <v>0.43084799999999995</v>
      </c>
      <c r="P54" s="77">
        <f>products_parts[[#This Row],[weight]]*products_parts[[#This Row],[Total '# of Caps]]</f>
        <v>0</v>
      </c>
      <c r="Q54" s="78" t="b">
        <f>AND(products_parts[[#This Row],[Height]]&gt;MIN(Calculations!$K$2,Calculations!$L$2),products_parts[[#This Row],[Height]]&lt;MAX(Calculations!$K$2,Calculations!$L$2))</f>
        <v>1</v>
      </c>
      <c r="R54" s="86">
        <f>IF(ISNUMBER(SEARCH("TPL",products_parts[[#This Row],[series]])),1,IF(products_parts[[#This Row],[series]]="PC",1,IF(ISNUMBER(SEARCH("PBL",products_parts[[#This Row],[series]])),2,2)))</f>
        <v>2</v>
      </c>
      <c r="S54" s="78" t="str">
        <f>IF(TempRange=2,IF(products_parts[[#This Row],[voltage2]]=0,"0","1"),"1")</f>
        <v>1</v>
      </c>
      <c r="T54" s="78">
        <f>IF(TempRange=1,products_parts[voltage],products_parts[voltage2])</f>
        <v>8.1</v>
      </c>
      <c r="U54" s="79" t="str">
        <f>IF(ISNUMBER(SEARCH("PBL ",products_parts[series])),"PBL",products_parts[series])</f>
        <v>PBLS</v>
      </c>
      <c r="V54" s="87" t="s">
        <v>84</v>
      </c>
      <c r="W54" s="87" t="s">
        <v>85</v>
      </c>
      <c r="X54" s="68">
        <v>8.1</v>
      </c>
      <c r="Y54" s="68">
        <v>0</v>
      </c>
      <c r="Z54" s="68">
        <v>3330000</v>
      </c>
      <c r="AA54" s="68">
        <v>315</v>
      </c>
      <c r="AB54" s="68">
        <v>0.33</v>
      </c>
      <c r="AC54" s="68">
        <v>0</v>
      </c>
      <c r="AD54" s="68">
        <v>32</v>
      </c>
      <c r="AE54" s="68">
        <v>0</v>
      </c>
      <c r="AF54" s="68">
        <v>36</v>
      </c>
      <c r="AG54" s="68">
        <v>11</v>
      </c>
      <c r="AH54" s="68">
        <v>0</v>
      </c>
      <c r="AI54" s="87" t="s">
        <v>37</v>
      </c>
      <c r="AJ54" s="87" t="s">
        <v>156</v>
      </c>
      <c r="AK54" s="68">
        <v>0</v>
      </c>
      <c r="AL54" s="68">
        <v>22.5</v>
      </c>
      <c r="AS54" s="38"/>
    </row>
    <row r="55" spans="1:45" s="37" customFormat="1" x14ac:dyDescent="0.25">
      <c r="A55" s="84">
        <f>products_parts[[#This Row],[Total Price]]+ROW()*0.0001</f>
        <v>480.00549999999998</v>
      </c>
      <c r="B55" s="75">
        <f>products_parts[[#This Row],[cap_uf]]/1000000</f>
        <v>7.33</v>
      </c>
      <c r="C55" s="93">
        <f>products_parts[[#This Row],[Cap]]*products_parts[Total Parallel]/products_parts[Cells in Series]</f>
        <v>29.32</v>
      </c>
      <c r="D55" s="75">
        <f>PI()*((products_parts[[#This Row],[diameter]]/2)^2)*products_parts[[#This Row],[length]]/1000000</f>
        <v>0</v>
      </c>
      <c r="E55" s="75">
        <f>IF(products_parts[[#This Row],[Volume (L)]]=0,products_parts[[#This Row],[Height]]*products_parts[[#This Row],[length]]*products_parts[[#This Row],[Width Total]]/1000000,products_parts[[#This Row],[Volume (L)]])</f>
        <v>2.3519999999999999E-2</v>
      </c>
      <c r="F55" s="75">
        <f>products_parts[esr_dc]*products_parts[Cells in Series]/products_parts[Total Parallel]</f>
        <v>48.75</v>
      </c>
      <c r="G55" s="75">
        <f>IF(products_parts[[#This Row],[height2]]=0,products_parts[[#This Row],[length]]-products_parts[[#This Row],[lead_space_s]],products_parts[[#This Row],[height2]])</f>
        <v>42</v>
      </c>
      <c r="H55" s="85">
        <f>IF(products_parts[[#This Row],[thickness]]=0,IF(products_parts[[#This Row],[width]]=0,products_parts[[#This Row],[diameter]],products_parts[[#This Row],[width]]),products_parts[[#This Row],[thickness]])</f>
        <v>14</v>
      </c>
      <c r="I55" s="85">
        <f>IF(products_parts[[#This Row],[voltage]]=0,1000,ROUNDUP(WorkingV/products_parts[Operating Voltage (temp)],0))</f>
        <v>2</v>
      </c>
      <c r="J55" s="75">
        <f>ROUNDUP(Constant/(WorkingV-MinV)*((products_parts[esr_dc]/1000*products_parts[[#This Row],[Cap]])+Time)*products_parts[[#This Row],[Cells in Series]]/products_parts[[#This Row],[Cap]],0)</f>
        <v>8</v>
      </c>
      <c r="K55" s="78">
        <f>ROUNDUP(((Constant/WorkingV+Constant/MinV)/2)*(((products_parts[esr_dc]/1000*products_parts[Cap]))+Time)/(WorkingV-MinV)*(products_parts[[#This Row],[Cells in Series]]/products_parts[Cap]),0)</f>
        <v>1</v>
      </c>
      <c r="L55" s="79">
        <f>IF(Calculations!$J$2=1,products_parts[Cells in Parallel],products_parts[Parallel CP])</f>
        <v>8</v>
      </c>
      <c r="M55" s="75">
        <f>products_parts[[#This Row],[Cells in Series]]*products_parts[[#This Row],[Total Parallel]]</f>
        <v>16</v>
      </c>
      <c r="N55" s="76">
        <f>products_parts[[#This Row],[Price per Cell]]*products_parts[[#This Row],[Total '# of Caps]]</f>
        <v>480</v>
      </c>
      <c r="O55" s="77">
        <f>products_parts[[#This Row],[Calculated Volume]]*products_parts[[#This Row],[Total '# of Caps]]</f>
        <v>0.37631999999999999</v>
      </c>
      <c r="P55" s="77">
        <f>products_parts[[#This Row],[weight]]*products_parts[[#This Row],[Total '# of Caps]]</f>
        <v>0</v>
      </c>
      <c r="Q55" s="78" t="b">
        <f>AND(products_parts[[#This Row],[Height]]&gt;MIN(Calculations!$K$2,Calculations!$L$2),products_parts[[#This Row],[Height]]&lt;MAX(Calculations!$K$2,Calculations!$L$2))</f>
        <v>1</v>
      </c>
      <c r="R55" s="86">
        <f>IF(ISNUMBER(SEARCH("TPL",products_parts[[#This Row],[series]])),1,IF(products_parts[[#This Row],[series]]="PC",1,IF(ISNUMBER(SEARCH("PBL",products_parts[[#This Row],[series]])),2,2)))</f>
        <v>2</v>
      </c>
      <c r="S55" s="78" t="str">
        <f>IF(TempRange=2,IF(products_parts[[#This Row],[voltage2]]=0,"0","1"),"1")</f>
        <v>1</v>
      </c>
      <c r="T55" s="78">
        <f>IF(TempRange=1,products_parts[voltage],products_parts[voltage2])</f>
        <v>8.1</v>
      </c>
      <c r="U55" s="79" t="str">
        <f>IF(ISNUMBER(SEARCH("PBL ",products_parts[series])),"PBL",products_parts[series])</f>
        <v>PBLS</v>
      </c>
      <c r="V55" s="87" t="s">
        <v>84</v>
      </c>
      <c r="W55" s="87" t="s">
        <v>89</v>
      </c>
      <c r="X55" s="68">
        <v>8.1</v>
      </c>
      <c r="Y55" s="68">
        <v>0</v>
      </c>
      <c r="Z55" s="68">
        <v>7330000</v>
      </c>
      <c r="AA55" s="68">
        <v>195</v>
      </c>
      <c r="AB55" s="68">
        <v>1.41</v>
      </c>
      <c r="AC55" s="68">
        <v>0</v>
      </c>
      <c r="AD55" s="68">
        <v>40</v>
      </c>
      <c r="AE55" s="68">
        <v>0</v>
      </c>
      <c r="AF55" s="68">
        <v>42</v>
      </c>
      <c r="AG55" s="68">
        <v>14</v>
      </c>
      <c r="AH55" s="68">
        <v>0</v>
      </c>
      <c r="AI55" s="87" t="s">
        <v>37</v>
      </c>
      <c r="AJ55" s="87" t="s">
        <v>156</v>
      </c>
      <c r="AK55" s="68">
        <v>0</v>
      </c>
      <c r="AL55" s="68">
        <v>30</v>
      </c>
      <c r="AS55" s="38"/>
    </row>
    <row r="56" spans="1:45" s="37" customFormat="1" x14ac:dyDescent="0.25">
      <c r="A56" s="84">
        <f>products_parts[[#This Row],[Total Price]]+ROW()*0.0001</f>
        <v>462.00560000000002</v>
      </c>
      <c r="B56" s="75">
        <f>products_parts[[#This Row],[cap_uf]]/1000000</f>
        <v>9.33</v>
      </c>
      <c r="C56" s="93">
        <f>products_parts[[#This Row],[Cap]]*products_parts[Total Parallel]/products_parts[Cells in Series]</f>
        <v>32.655000000000001</v>
      </c>
      <c r="D56" s="75">
        <f>PI()*((products_parts[[#This Row],[diameter]]/2)^2)*products_parts[[#This Row],[length]]/1000000</f>
        <v>0</v>
      </c>
      <c r="E56" s="75">
        <f>IF(products_parts[[#This Row],[Volume (L)]]=0,products_parts[[#This Row],[Height]]*products_parts[[#This Row],[length]]*products_parts[[#This Row],[Width Total]]/1000000,products_parts[[#This Row],[Volume (L)]])</f>
        <v>2.5760000000000002E-2</v>
      </c>
      <c r="F56" s="75">
        <f>products_parts[esr_dc]*products_parts[Cells in Series]/products_parts[Total Parallel]</f>
        <v>49.714285714285715</v>
      </c>
      <c r="G56" s="75">
        <f>IF(products_parts[[#This Row],[height2]]=0,products_parts[[#This Row],[length]]-products_parts[[#This Row],[lead_space_s]],products_parts[[#This Row],[height2]])</f>
        <v>46</v>
      </c>
      <c r="H56" s="85">
        <f>IF(products_parts[[#This Row],[thickness]]=0,IF(products_parts[[#This Row],[width]]=0,products_parts[[#This Row],[diameter]],products_parts[[#This Row],[width]]),products_parts[[#This Row],[thickness]])</f>
        <v>14</v>
      </c>
      <c r="I56" s="85">
        <f>IF(products_parts[[#This Row],[voltage]]=0,1000,ROUNDUP(WorkingV/products_parts[Operating Voltage (temp)],0))</f>
        <v>2</v>
      </c>
      <c r="J56" s="75">
        <f>ROUNDUP(Constant/(WorkingV-MinV)*((products_parts[esr_dc]/1000*products_parts[[#This Row],[Cap]])+Time)*products_parts[[#This Row],[Cells in Series]]/products_parts[[#This Row],[Cap]],0)</f>
        <v>7</v>
      </c>
      <c r="K56" s="78">
        <f>ROUNDUP(((Constant/WorkingV+Constant/MinV)/2)*(((products_parts[esr_dc]/1000*products_parts[Cap]))+Time)/(WorkingV-MinV)*(products_parts[[#This Row],[Cells in Series]]/products_parts[Cap]),0)</f>
        <v>1</v>
      </c>
      <c r="L56" s="79">
        <f>IF(Calculations!$J$2=1,products_parts[Cells in Parallel],products_parts[Parallel CP])</f>
        <v>7</v>
      </c>
      <c r="M56" s="75">
        <f>products_parts[[#This Row],[Cells in Series]]*products_parts[[#This Row],[Total Parallel]]</f>
        <v>14</v>
      </c>
      <c r="N56" s="76">
        <f>products_parts[[#This Row],[Price per Cell]]*products_parts[[#This Row],[Total '# of Caps]]</f>
        <v>462</v>
      </c>
      <c r="O56" s="77">
        <f>products_parts[[#This Row],[Calculated Volume]]*products_parts[[#This Row],[Total '# of Caps]]</f>
        <v>0.36064000000000002</v>
      </c>
      <c r="P56" s="77">
        <f>products_parts[[#This Row],[weight]]*products_parts[[#This Row],[Total '# of Caps]]</f>
        <v>0</v>
      </c>
      <c r="Q56" s="78" t="b">
        <f>AND(products_parts[[#This Row],[Height]]&gt;MIN(Calculations!$K$2,Calculations!$L$2),products_parts[[#This Row],[Height]]&lt;MAX(Calculations!$K$2,Calculations!$L$2))</f>
        <v>1</v>
      </c>
      <c r="R56" s="86">
        <f>IF(ISNUMBER(SEARCH("TPL",products_parts[[#This Row],[series]])),1,IF(products_parts[[#This Row],[series]]="PC",1,IF(ISNUMBER(SEARCH("PBL",products_parts[[#This Row],[series]])),2,2)))</f>
        <v>2</v>
      </c>
      <c r="S56" s="78" t="str">
        <f>IF(TempRange=2,IF(products_parts[[#This Row],[voltage2]]=0,"0","1"),"1")</f>
        <v>1</v>
      </c>
      <c r="T56" s="78">
        <f>IF(TempRange=1,products_parts[voltage],products_parts[voltage2])</f>
        <v>8.1</v>
      </c>
      <c r="U56" s="79" t="str">
        <f>IF(ISNUMBER(SEARCH("PBL ",products_parts[series])),"PBL",products_parts[series])</f>
        <v>PBLS</v>
      </c>
      <c r="V56" s="87" t="s">
        <v>84</v>
      </c>
      <c r="W56" s="87" t="s">
        <v>93</v>
      </c>
      <c r="X56" s="68">
        <v>8.1</v>
      </c>
      <c r="Y56" s="68">
        <v>0</v>
      </c>
      <c r="Z56" s="68">
        <v>9330000</v>
      </c>
      <c r="AA56" s="68">
        <v>174</v>
      </c>
      <c r="AB56" s="68">
        <v>1.41</v>
      </c>
      <c r="AC56" s="68">
        <v>0</v>
      </c>
      <c r="AD56" s="68">
        <v>40</v>
      </c>
      <c r="AE56" s="68">
        <v>0</v>
      </c>
      <c r="AF56" s="68">
        <v>46</v>
      </c>
      <c r="AG56" s="68">
        <v>14</v>
      </c>
      <c r="AH56" s="68">
        <v>0</v>
      </c>
      <c r="AI56" s="87" t="s">
        <v>37</v>
      </c>
      <c r="AJ56" s="87" t="s">
        <v>156</v>
      </c>
      <c r="AK56" s="68">
        <v>0</v>
      </c>
      <c r="AL56" s="68">
        <v>33</v>
      </c>
      <c r="AS56" s="38"/>
    </row>
    <row r="57" spans="1:45" s="37" customFormat="1" x14ac:dyDescent="0.25">
      <c r="A57" s="84">
        <f>products_parts[[#This Row],[Total Price]]+ROW()*0.0001</f>
        <v>432.00569999999999</v>
      </c>
      <c r="B57" s="75">
        <f>products_parts[[#This Row],[cap_uf]]/1000000</f>
        <v>11.33</v>
      </c>
      <c r="C57" s="93">
        <f>products_parts[[#This Row],[Cap]]*products_parts[Total Parallel]/products_parts[Cells in Series]</f>
        <v>33.99</v>
      </c>
      <c r="D57" s="75">
        <f>PI()*((products_parts[[#This Row],[diameter]]/2)^2)*products_parts[[#This Row],[length]]/1000000</f>
        <v>0</v>
      </c>
      <c r="E57" s="75">
        <f>IF(products_parts[[#This Row],[Volume (L)]]=0,products_parts[[#This Row],[Height]]*products_parts[[#This Row],[length]]*products_parts[[#This Row],[Width Total]]/1000000,products_parts[[#This Row],[Volume (L)]])</f>
        <v>2.912E-2</v>
      </c>
      <c r="F57" s="75">
        <f>products_parts[esr_dc]*products_parts[Cells in Series]/products_parts[Total Parallel]</f>
        <v>50</v>
      </c>
      <c r="G57" s="75">
        <f>IF(products_parts[[#This Row],[height2]]=0,products_parts[[#This Row],[length]]-products_parts[[#This Row],[lead_space_s]],products_parts[[#This Row],[height2]])</f>
        <v>52</v>
      </c>
      <c r="H57" s="85">
        <f>IF(products_parts[[#This Row],[thickness]]=0,IF(products_parts[[#This Row],[width]]=0,products_parts[[#This Row],[diameter]],products_parts[[#This Row],[width]]),products_parts[[#This Row],[thickness]])</f>
        <v>14</v>
      </c>
      <c r="I57" s="85">
        <f>IF(products_parts[[#This Row],[voltage]]=0,1000,ROUNDUP(WorkingV/products_parts[Operating Voltage (temp)],0))</f>
        <v>2</v>
      </c>
      <c r="J57" s="75">
        <f>ROUNDUP(Constant/(WorkingV-MinV)*((products_parts[esr_dc]/1000*products_parts[[#This Row],[Cap]])+Time)*products_parts[[#This Row],[Cells in Series]]/products_parts[[#This Row],[Cap]],0)</f>
        <v>6</v>
      </c>
      <c r="K57" s="78">
        <f>ROUNDUP(((Constant/WorkingV+Constant/MinV)/2)*(((products_parts[esr_dc]/1000*products_parts[Cap]))+Time)/(WorkingV-MinV)*(products_parts[[#This Row],[Cells in Series]]/products_parts[Cap]),0)</f>
        <v>1</v>
      </c>
      <c r="L57" s="79">
        <f>IF(Calculations!$J$2=1,products_parts[Cells in Parallel],products_parts[Parallel CP])</f>
        <v>6</v>
      </c>
      <c r="M57" s="75">
        <f>products_parts[[#This Row],[Cells in Series]]*products_parts[[#This Row],[Total Parallel]]</f>
        <v>12</v>
      </c>
      <c r="N57" s="76">
        <f>products_parts[[#This Row],[Price per Cell]]*products_parts[[#This Row],[Total '# of Caps]]</f>
        <v>432</v>
      </c>
      <c r="O57" s="77">
        <f>products_parts[[#This Row],[Calculated Volume]]*products_parts[[#This Row],[Total '# of Caps]]</f>
        <v>0.34943999999999997</v>
      </c>
      <c r="P57" s="77">
        <f>products_parts[[#This Row],[weight]]*products_parts[[#This Row],[Total '# of Caps]]</f>
        <v>0</v>
      </c>
      <c r="Q57" s="78" t="b">
        <f>AND(products_parts[[#This Row],[Height]]&gt;MIN(Calculations!$K$2,Calculations!$L$2),products_parts[[#This Row],[Height]]&lt;MAX(Calculations!$K$2,Calculations!$L$2))</f>
        <v>1</v>
      </c>
      <c r="R57" s="86">
        <f>IF(ISNUMBER(SEARCH("TPL",products_parts[[#This Row],[series]])),1,IF(products_parts[[#This Row],[series]]="PC",1,IF(ISNUMBER(SEARCH("PBL",products_parts[[#This Row],[series]])),2,2)))</f>
        <v>2</v>
      </c>
      <c r="S57" s="86" t="str">
        <f>IF(TempRange=2,IF(products_parts[[#This Row],[voltage2]]=0,"0","1"),"1")</f>
        <v>1</v>
      </c>
      <c r="T57" s="79">
        <f>IF(TempRange=1,products_parts[voltage],products_parts[voltage2])</f>
        <v>8.1</v>
      </c>
      <c r="U57" s="79" t="str">
        <f>IF(ISNUMBER(SEARCH("PBL ",products_parts[series])),"PBL",products_parts[series])</f>
        <v>PBLS</v>
      </c>
      <c r="V57" s="87" t="s">
        <v>84</v>
      </c>
      <c r="W57" s="87" t="s">
        <v>97</v>
      </c>
      <c r="X57" s="68">
        <v>8.1</v>
      </c>
      <c r="Y57" s="68">
        <v>0</v>
      </c>
      <c r="Z57" s="68">
        <v>11330000</v>
      </c>
      <c r="AA57" s="68">
        <v>150</v>
      </c>
      <c r="AB57" s="68">
        <v>1.42</v>
      </c>
      <c r="AC57" s="68">
        <v>0</v>
      </c>
      <c r="AD57" s="68">
        <v>40</v>
      </c>
      <c r="AE57" s="68">
        <v>0</v>
      </c>
      <c r="AF57" s="68">
        <v>52</v>
      </c>
      <c r="AG57" s="68">
        <v>14</v>
      </c>
      <c r="AH57" s="68">
        <v>0</v>
      </c>
      <c r="AI57" s="87" t="s">
        <v>37</v>
      </c>
      <c r="AJ57" s="87" t="s">
        <v>156</v>
      </c>
      <c r="AK57" s="68">
        <v>0</v>
      </c>
      <c r="AL57" s="68">
        <v>36</v>
      </c>
      <c r="AS57" s="38"/>
    </row>
    <row r="58" spans="1:45" s="37" customFormat="1" x14ac:dyDescent="0.25">
      <c r="A58" s="84">
        <f>products_parts[[#This Row],[Total Price]]+ROW()*0.0001</f>
        <v>390.00580000000002</v>
      </c>
      <c r="B58" s="75">
        <f>products_parts[[#This Row],[cap_uf]]/1000000</f>
        <v>13.33</v>
      </c>
      <c r="C58" s="93">
        <f>products_parts[[#This Row],[Cap]]*products_parts[Total Parallel]/products_parts[Cells in Series]</f>
        <v>33.325000000000003</v>
      </c>
      <c r="D58" s="75">
        <f>PI()*((products_parts[[#This Row],[diameter]]/2)^2)*products_parts[[#This Row],[length]]/1000000</f>
        <v>0</v>
      </c>
      <c r="E58" s="75">
        <f>IF(products_parts[[#This Row],[Volume (L)]]=0,products_parts[[#This Row],[Height]]*products_parts[[#This Row],[length]]*products_parts[[#This Row],[Width Total]]/1000000,products_parts[[#This Row],[Volume (L)]])</f>
        <v>2.912E-2</v>
      </c>
      <c r="F58" s="75">
        <f>products_parts[esr_dc]*products_parts[Cells in Series]/products_parts[Total Parallel]</f>
        <v>54</v>
      </c>
      <c r="G58" s="75">
        <f>IF(products_parts[[#This Row],[height2]]=0,products_parts[[#This Row],[length]]-products_parts[[#This Row],[lead_space_s]],products_parts[[#This Row],[height2]])</f>
        <v>52</v>
      </c>
      <c r="H58" s="85">
        <f>IF(products_parts[[#This Row],[thickness]]=0,IF(products_parts[[#This Row],[width]]=0,products_parts[[#This Row],[diameter]],products_parts[[#This Row],[width]]),products_parts[[#This Row],[thickness]])</f>
        <v>14</v>
      </c>
      <c r="I58" s="85">
        <f>IF(products_parts[[#This Row],[voltage]]=0,1000,ROUNDUP(WorkingV/products_parts[Operating Voltage (temp)],0))</f>
        <v>2</v>
      </c>
      <c r="J58" s="75">
        <f>ROUNDUP(Constant/(WorkingV-MinV)*((products_parts[esr_dc]/1000*products_parts[[#This Row],[Cap]])+Time)*products_parts[[#This Row],[Cells in Series]]/products_parts[[#This Row],[Cap]],0)</f>
        <v>5</v>
      </c>
      <c r="K58" s="78">
        <f>ROUNDUP(((Constant/WorkingV+Constant/MinV)/2)*(((products_parts[esr_dc]/1000*products_parts[Cap]))+Time)/(WorkingV-MinV)*(products_parts[[#This Row],[Cells in Series]]/products_parts[Cap]),0)</f>
        <v>1</v>
      </c>
      <c r="L58" s="79">
        <f>IF(Calculations!$J$2=1,products_parts[Cells in Parallel],products_parts[Parallel CP])</f>
        <v>5</v>
      </c>
      <c r="M58" s="75">
        <f>products_parts[[#This Row],[Cells in Series]]*products_parts[[#This Row],[Total Parallel]]</f>
        <v>10</v>
      </c>
      <c r="N58" s="76">
        <f>products_parts[[#This Row],[Price per Cell]]*products_parts[[#This Row],[Total '# of Caps]]</f>
        <v>390</v>
      </c>
      <c r="O58" s="77">
        <f>products_parts[[#This Row],[Calculated Volume]]*products_parts[[#This Row],[Total '# of Caps]]</f>
        <v>0.29120000000000001</v>
      </c>
      <c r="P58" s="77">
        <f>products_parts[[#This Row],[weight]]*products_parts[[#This Row],[Total '# of Caps]]</f>
        <v>0</v>
      </c>
      <c r="Q58" s="78" t="b">
        <f>AND(products_parts[[#This Row],[Height]]&gt;MIN(Calculations!$K$2,Calculations!$L$2),products_parts[[#This Row],[Height]]&lt;MAX(Calculations!$K$2,Calculations!$L$2))</f>
        <v>1</v>
      </c>
      <c r="R58" s="86">
        <f>IF(ISNUMBER(SEARCH("TPL",products_parts[[#This Row],[series]])),1,IF(products_parts[[#This Row],[series]]="PC",1,IF(ISNUMBER(SEARCH("PBL",products_parts[[#This Row],[series]])),2,2)))</f>
        <v>2</v>
      </c>
      <c r="S58" s="78" t="str">
        <f>IF(TempRange=2,IF(products_parts[[#This Row],[voltage2]]=0,"0","1"),"1")</f>
        <v>1</v>
      </c>
      <c r="T58" s="79">
        <f>IF(TempRange=1,products_parts[voltage],products_parts[voltage2])</f>
        <v>8.1</v>
      </c>
      <c r="U58" s="79" t="str">
        <f>IF(ISNUMBER(SEARCH("PBL ",products_parts[series])),"PBL",products_parts[series])</f>
        <v>PBLS</v>
      </c>
      <c r="V58" s="87" t="s">
        <v>84</v>
      </c>
      <c r="W58" s="87" t="s">
        <v>101</v>
      </c>
      <c r="X58" s="68">
        <v>8.1</v>
      </c>
      <c r="Y58" s="68">
        <v>0</v>
      </c>
      <c r="Z58" s="68">
        <v>13330000</v>
      </c>
      <c r="AA58" s="68">
        <v>135</v>
      </c>
      <c r="AB58" s="68">
        <v>1.43</v>
      </c>
      <c r="AC58" s="68">
        <v>0</v>
      </c>
      <c r="AD58" s="68">
        <v>40</v>
      </c>
      <c r="AE58" s="68">
        <v>0</v>
      </c>
      <c r="AF58" s="68">
        <v>52</v>
      </c>
      <c r="AG58" s="68">
        <v>14</v>
      </c>
      <c r="AH58" s="68">
        <v>0</v>
      </c>
      <c r="AI58" s="87" t="s">
        <v>37</v>
      </c>
      <c r="AJ58" s="87" t="s">
        <v>156</v>
      </c>
      <c r="AK58" s="68">
        <v>0</v>
      </c>
      <c r="AL58" s="68">
        <v>39</v>
      </c>
      <c r="AS58" s="38"/>
    </row>
    <row r="59" spans="1:45" s="37" customFormat="1" x14ac:dyDescent="0.25">
      <c r="A59" s="84">
        <f>products_parts[[#This Row],[Total Price]]+ROW()*0.0001</f>
        <v>336.0059</v>
      </c>
      <c r="B59" s="75">
        <f>products_parts[[#This Row],[cap_uf]]/1000000</f>
        <v>15</v>
      </c>
      <c r="C59" s="93">
        <f>products_parts[[#This Row],[Cap]]*products_parts[Total Parallel]/products_parts[Cells in Series]</f>
        <v>30</v>
      </c>
      <c r="D59" s="75">
        <f>PI()*((products_parts[[#This Row],[diameter]]/2)^2)*products_parts[[#This Row],[length]]/1000000</f>
        <v>0</v>
      </c>
      <c r="E59" s="75">
        <f>IF(products_parts[[#This Row],[Volume (L)]]=0,products_parts[[#This Row],[Height]]*products_parts[[#This Row],[length]]*products_parts[[#This Row],[Width Total]]/1000000,products_parts[[#This Row],[Volume (L)]])</f>
        <v>3.4160000000000003E-2</v>
      </c>
      <c r="F59" s="75">
        <f>products_parts[esr_dc]*products_parts[Cells in Series]/products_parts[Total Parallel]</f>
        <v>63</v>
      </c>
      <c r="G59" s="75">
        <f>IF(products_parts[[#This Row],[height2]]=0,products_parts[[#This Row],[length]]-products_parts[[#This Row],[lead_space_s]],products_parts[[#This Row],[height2]])</f>
        <v>61</v>
      </c>
      <c r="H59" s="85">
        <f>IF(products_parts[[#This Row],[thickness]]=0,IF(products_parts[[#This Row],[width]]=0,products_parts[[#This Row],[diameter]],products_parts[[#This Row],[width]]),products_parts[[#This Row],[thickness]])</f>
        <v>14</v>
      </c>
      <c r="I59" s="85">
        <f>IF(products_parts[[#This Row],[voltage]]=0,1000,ROUNDUP(WorkingV/products_parts[Operating Voltage (temp)],0))</f>
        <v>2</v>
      </c>
      <c r="J59" s="75">
        <f>ROUNDUP(Constant/(WorkingV-MinV)*((products_parts[esr_dc]/1000*products_parts[[#This Row],[Cap]])+Time)*products_parts[[#This Row],[Cells in Series]]/products_parts[[#This Row],[Cap]],0)</f>
        <v>4</v>
      </c>
      <c r="K59" s="78">
        <f>ROUNDUP(((Constant/WorkingV+Constant/MinV)/2)*(((products_parts[esr_dc]/1000*products_parts[Cap]))+Time)/(WorkingV-MinV)*(products_parts[[#This Row],[Cells in Series]]/products_parts[Cap]),0)</f>
        <v>1</v>
      </c>
      <c r="L59" s="79">
        <f>IF(Calculations!$J$2=1,products_parts[Cells in Parallel],products_parts[Parallel CP])</f>
        <v>4</v>
      </c>
      <c r="M59" s="75">
        <f>products_parts[[#This Row],[Cells in Series]]*products_parts[[#This Row],[Total Parallel]]</f>
        <v>8</v>
      </c>
      <c r="N59" s="76">
        <f>products_parts[[#This Row],[Price per Cell]]*products_parts[[#This Row],[Total '# of Caps]]</f>
        <v>336</v>
      </c>
      <c r="O59" s="77">
        <f>products_parts[[#This Row],[Calculated Volume]]*products_parts[[#This Row],[Total '# of Caps]]</f>
        <v>0.27328000000000002</v>
      </c>
      <c r="P59" s="77">
        <f>products_parts[[#This Row],[weight]]*products_parts[[#This Row],[Total '# of Caps]]</f>
        <v>0</v>
      </c>
      <c r="Q59" s="78" t="b">
        <f>AND(products_parts[[#This Row],[Height]]&gt;MIN(Calculations!$K$2,Calculations!$L$2),products_parts[[#This Row],[Height]]&lt;MAX(Calculations!$K$2,Calculations!$L$2))</f>
        <v>1</v>
      </c>
      <c r="R59" s="86">
        <f>IF(ISNUMBER(SEARCH("TPL",products_parts[[#This Row],[series]])),1,IF(products_parts[[#This Row],[series]]="PC",1,IF(ISNUMBER(SEARCH("PBL",products_parts[[#This Row],[series]])),2,2)))</f>
        <v>2</v>
      </c>
      <c r="S59" s="78" t="str">
        <f>IF(TempRange=2,IF(products_parts[[#This Row],[voltage2]]=0,"0","1"),"1")</f>
        <v>1</v>
      </c>
      <c r="T59" s="78">
        <f>IF(TempRange=1,products_parts[voltage],products_parts[voltage2])</f>
        <v>8.1</v>
      </c>
      <c r="U59" s="79" t="str">
        <f>IF(ISNUMBER(SEARCH("PBL ",products_parts[series])),"PBL",products_parts[series])</f>
        <v>PBLS</v>
      </c>
      <c r="V59" s="87" t="s">
        <v>84</v>
      </c>
      <c r="W59" s="87" t="s">
        <v>105</v>
      </c>
      <c r="X59" s="68">
        <v>8.1</v>
      </c>
      <c r="Y59" s="68">
        <v>0</v>
      </c>
      <c r="Z59" s="68">
        <v>15000000</v>
      </c>
      <c r="AA59" s="68">
        <v>126</v>
      </c>
      <c r="AB59" s="68">
        <v>1.45</v>
      </c>
      <c r="AC59" s="68">
        <v>0</v>
      </c>
      <c r="AD59" s="68">
        <v>40</v>
      </c>
      <c r="AE59" s="68">
        <v>0</v>
      </c>
      <c r="AF59" s="68">
        <v>61</v>
      </c>
      <c r="AG59" s="68">
        <v>14</v>
      </c>
      <c r="AH59" s="68">
        <v>0</v>
      </c>
      <c r="AI59" s="87" t="s">
        <v>37</v>
      </c>
      <c r="AJ59" s="87" t="s">
        <v>156</v>
      </c>
      <c r="AK59" s="68">
        <v>0</v>
      </c>
      <c r="AL59" s="68">
        <v>42</v>
      </c>
      <c r="AS59" s="38"/>
    </row>
    <row r="60" spans="1:45" s="37" customFormat="1" x14ac:dyDescent="0.25">
      <c r="A60" s="84">
        <f>products_parts[[#This Row],[Total Price]]+ROW()*0.0001</f>
        <v>360.00599999999997</v>
      </c>
      <c r="B60" s="75">
        <f>products_parts[[#This Row],[cap_uf]]/1000000</f>
        <v>16.66</v>
      </c>
      <c r="C60" s="93">
        <f>products_parts[[#This Row],[Cap]]*products_parts[Total Parallel]/products_parts[Cells in Series]</f>
        <v>33.32</v>
      </c>
      <c r="D60" s="75">
        <f>PI()*((products_parts[[#This Row],[diameter]]/2)^2)*products_parts[[#This Row],[length]]/1000000</f>
        <v>0</v>
      </c>
      <c r="E60" s="75">
        <f>IF(products_parts[[#This Row],[Volume (L)]]=0,products_parts[[#This Row],[Height]]*products_parts[[#This Row],[length]]*products_parts[[#This Row],[Width Total]]/1000000,products_parts[[#This Row],[Volume (L)]])</f>
        <v>3.696E-2</v>
      </c>
      <c r="F60" s="75">
        <f>products_parts[esr_dc]*products_parts[Cells in Series]/products_parts[Total Parallel]</f>
        <v>60</v>
      </c>
      <c r="G60" s="75">
        <f>IF(products_parts[[#This Row],[height2]]=0,products_parts[[#This Row],[length]]-products_parts[[#This Row],[lead_space_s]],products_parts[[#This Row],[height2]])</f>
        <v>66</v>
      </c>
      <c r="H60" s="85">
        <f>IF(products_parts[[#This Row],[thickness]]=0,IF(products_parts[[#This Row],[width]]=0,products_parts[[#This Row],[diameter]],products_parts[[#This Row],[width]]),products_parts[[#This Row],[thickness]])</f>
        <v>14</v>
      </c>
      <c r="I60" s="85">
        <f>IF(products_parts[[#This Row],[voltage]]=0,1000,ROUNDUP(WorkingV/products_parts[Operating Voltage (temp)],0))</f>
        <v>2</v>
      </c>
      <c r="J60" s="75">
        <f>ROUNDUP(Constant/(WorkingV-MinV)*((products_parts[esr_dc]/1000*products_parts[[#This Row],[Cap]])+Time)*products_parts[[#This Row],[Cells in Series]]/products_parts[[#This Row],[Cap]],0)</f>
        <v>4</v>
      </c>
      <c r="K60" s="78">
        <f>ROUNDUP(((Constant/WorkingV+Constant/MinV)/2)*(((products_parts[esr_dc]/1000*products_parts[Cap]))+Time)/(WorkingV-MinV)*(products_parts[[#This Row],[Cells in Series]]/products_parts[Cap]),0)</f>
        <v>1</v>
      </c>
      <c r="L60" s="79">
        <f>IF(Calculations!$J$2=1,products_parts[Cells in Parallel],products_parts[Parallel CP])</f>
        <v>4</v>
      </c>
      <c r="M60" s="75">
        <f>products_parts[[#This Row],[Cells in Series]]*products_parts[[#This Row],[Total Parallel]]</f>
        <v>8</v>
      </c>
      <c r="N60" s="76">
        <f>products_parts[[#This Row],[Price per Cell]]*products_parts[[#This Row],[Total '# of Caps]]</f>
        <v>360</v>
      </c>
      <c r="O60" s="77">
        <f>products_parts[[#This Row],[Calculated Volume]]*products_parts[[#This Row],[Total '# of Caps]]</f>
        <v>0.29568</v>
      </c>
      <c r="P60" s="77">
        <f>products_parts[[#This Row],[weight]]*products_parts[[#This Row],[Total '# of Caps]]</f>
        <v>0</v>
      </c>
      <c r="Q60" s="78" t="b">
        <f>AND(products_parts[[#This Row],[Height]]&gt;MIN(Calculations!$K$2,Calculations!$L$2),products_parts[[#This Row],[Height]]&lt;MAX(Calculations!$K$2,Calculations!$L$2))</f>
        <v>1</v>
      </c>
      <c r="R60" s="86">
        <f>IF(ISNUMBER(SEARCH("TPL",products_parts[[#This Row],[series]])),1,IF(products_parts[[#This Row],[series]]="PC",1,IF(ISNUMBER(SEARCH("PBL",products_parts[[#This Row],[series]])),2,2)))</f>
        <v>2</v>
      </c>
      <c r="S60" s="78" t="str">
        <f>IF(TempRange=2,IF(products_parts[[#This Row],[voltage2]]=0,"0","1"),"1")</f>
        <v>1</v>
      </c>
      <c r="T60" s="79">
        <f>IF(TempRange=1,products_parts[voltage],products_parts[voltage2])</f>
        <v>8.1</v>
      </c>
      <c r="U60" s="79" t="str">
        <f>IF(ISNUMBER(SEARCH("PBL ",products_parts[series])),"PBL",products_parts[series])</f>
        <v>PBLS</v>
      </c>
      <c r="V60" s="87" t="s">
        <v>84</v>
      </c>
      <c r="W60" s="87" t="s">
        <v>109</v>
      </c>
      <c r="X60" s="68">
        <v>8.1</v>
      </c>
      <c r="Y60" s="68">
        <v>0</v>
      </c>
      <c r="Z60" s="68">
        <v>16660000</v>
      </c>
      <c r="AA60" s="68">
        <v>120</v>
      </c>
      <c r="AB60" s="68">
        <v>1.48</v>
      </c>
      <c r="AC60" s="68">
        <v>0</v>
      </c>
      <c r="AD60" s="68">
        <v>40</v>
      </c>
      <c r="AE60" s="68">
        <v>0</v>
      </c>
      <c r="AF60" s="68">
        <v>66</v>
      </c>
      <c r="AG60" s="68">
        <v>14</v>
      </c>
      <c r="AH60" s="68">
        <v>0</v>
      </c>
      <c r="AI60" s="87" t="s">
        <v>37</v>
      </c>
      <c r="AJ60" s="87" t="s">
        <v>156</v>
      </c>
      <c r="AK60" s="68">
        <v>0</v>
      </c>
      <c r="AL60" s="68">
        <v>45</v>
      </c>
      <c r="AS60" s="38"/>
    </row>
    <row r="61" spans="1:45" s="37" customFormat="1" x14ac:dyDescent="0.25">
      <c r="A61" s="84">
        <f>products_parts[[#This Row],[Total Price]]+ROW()*0.0001</f>
        <v>4659.7560999999996</v>
      </c>
      <c r="B61" s="75">
        <f>products_parts[[#This Row],[cap_uf]]/1000000</f>
        <v>0.25</v>
      </c>
      <c r="C61" s="93">
        <f>products_parts[[#This Row],[Cap]]*products_parts[Total Parallel]/products_parts[Cells in Series]</f>
        <v>27.25</v>
      </c>
      <c r="D61" s="75">
        <f>PI()*((products_parts[[#This Row],[diameter]]/2)^2)*products_parts[[#This Row],[length]]/1000000</f>
        <v>1.3351768777756623E-3</v>
      </c>
      <c r="E61" s="75">
        <f>IF(products_parts[[#This Row],[Volume (L)]]=0,products_parts[[#This Row],[Height]]*products_parts[[#This Row],[length]]*products_parts[[#This Row],[Width Total]]/1000000,products_parts[[#This Row],[Volume (L)]])</f>
        <v>1.3351768777756623E-3</v>
      </c>
      <c r="F61" s="75">
        <f>products_parts[esr_dc]*products_parts[Cells in Series]/products_parts[Total Parallel]</f>
        <v>33.027522935779814</v>
      </c>
      <c r="G61" s="75">
        <f>IF(products_parts[[#This Row],[height2]]=0,products_parts[[#This Row],[length]]-products_parts[[#This Row],[lead_space_s]],products_parts[[#This Row],[height2]])</f>
        <v>5</v>
      </c>
      <c r="H61" s="85">
        <f>IF(products_parts[[#This Row],[thickness]]=0,IF(products_parts[[#This Row],[width]]=0,products_parts[[#This Row],[diameter]],products_parts[[#This Row],[width]]),products_parts[[#This Row],[thickness]])</f>
        <v>18</v>
      </c>
      <c r="I61" s="85">
        <f>IF(products_parts[[#This Row],[voltage]]=0,1000,ROUNDUP(WorkingV/products_parts[Operating Voltage (temp)],0))</f>
        <v>3</v>
      </c>
      <c r="J61" s="75">
        <f>ROUNDUP(Constant/(WorkingV-MinV)*((products_parts[esr_dc]/1000*products_parts[[#This Row],[Cap]])+Time)*products_parts[[#This Row],[Cells in Series]]/products_parts[[#This Row],[Cap]],0)</f>
        <v>327</v>
      </c>
      <c r="K61" s="78">
        <f>ROUNDUP(((Constant/WorkingV+Constant/MinV)/2)*(((products_parts[esr_dc]/1000*products_parts[Cap]))+Time)/(WorkingV-MinV)*(products_parts[[#This Row],[Cells in Series]]/products_parts[Cap]),0)</f>
        <v>30</v>
      </c>
      <c r="L61" s="79">
        <f>IF(Calculations!$J$2=1,products_parts[Cells in Parallel],products_parts[Parallel CP])</f>
        <v>327</v>
      </c>
      <c r="M61" s="75">
        <f>products_parts[[#This Row],[Cells in Series]]*products_parts[[#This Row],[Total Parallel]]</f>
        <v>981</v>
      </c>
      <c r="N61" s="76">
        <f>products_parts[[#This Row],[Price per Cell]]*products_parts[[#This Row],[Total '# of Caps]]</f>
        <v>4659.75</v>
      </c>
      <c r="O61" s="77">
        <f>products_parts[[#This Row],[Calculated Volume]]*products_parts[[#This Row],[Total '# of Caps]]</f>
        <v>1.3098085170979246</v>
      </c>
      <c r="P61" s="77">
        <f>products_parts[[#This Row],[weight]]*products_parts[[#This Row],[Total '# of Caps]]</f>
        <v>0</v>
      </c>
      <c r="Q61" s="78" t="b">
        <f>AND(products_parts[[#This Row],[Height]]&gt;MIN(Calculations!$K$2,Calculations!$L$2),products_parts[[#This Row],[Height]]&lt;MAX(Calculations!$K$2,Calculations!$L$2))</f>
        <v>1</v>
      </c>
      <c r="R61" s="86">
        <f>IF(ISNUMBER(SEARCH("TPL",products_parts[[#This Row],[series]])),1,IF(products_parts[[#This Row],[series]]="PC",1,IF(ISNUMBER(SEARCH("PBL",products_parts[[#This Row],[series]])),2,2)))</f>
        <v>2</v>
      </c>
      <c r="S61" s="86" t="str">
        <f>IF(TempRange=2,IF(products_parts[[#This Row],[voltage2]]=0,"0","1"),"1")</f>
        <v>1</v>
      </c>
      <c r="T61" s="78">
        <f>IF(TempRange=1,products_parts[voltage],products_parts[voltage2])</f>
        <v>5.4</v>
      </c>
      <c r="U61" s="79" t="str">
        <f>IF(ISNUMBER(SEARCH("PBL ",products_parts[series])),"PBL",products_parts[series])</f>
        <v>PBL</v>
      </c>
      <c r="V61" s="87" t="s">
        <v>209</v>
      </c>
      <c r="W61" s="87" t="s">
        <v>57</v>
      </c>
      <c r="X61" s="68">
        <v>5.4</v>
      </c>
      <c r="Y61" s="68">
        <v>4.5999999999999996</v>
      </c>
      <c r="Z61" s="68">
        <v>250000</v>
      </c>
      <c r="AA61" s="68">
        <v>3600</v>
      </c>
      <c r="AB61" s="68">
        <v>0.08</v>
      </c>
      <c r="AC61" s="68">
        <v>10</v>
      </c>
      <c r="AD61" s="68">
        <v>17</v>
      </c>
      <c r="AE61" s="68">
        <v>18</v>
      </c>
      <c r="AF61" s="68">
        <v>0</v>
      </c>
      <c r="AG61" s="68">
        <v>0</v>
      </c>
      <c r="AH61" s="68">
        <v>12</v>
      </c>
      <c r="AI61" s="87" t="s">
        <v>37</v>
      </c>
      <c r="AJ61" s="87" t="s">
        <v>38</v>
      </c>
      <c r="AK61" s="68">
        <v>0</v>
      </c>
      <c r="AL61" s="68">
        <v>4.75</v>
      </c>
      <c r="AS61" s="38"/>
    </row>
    <row r="62" spans="1:45" s="37" customFormat="1" x14ac:dyDescent="0.25">
      <c r="A62" s="84">
        <f>products_parts[[#This Row],[Total Price]]+ROW()*0.0001</f>
        <v>2294.2561999999998</v>
      </c>
      <c r="B62" s="75">
        <f>products_parts[[#This Row],[cap_uf]]/1000000</f>
        <v>0.5</v>
      </c>
      <c r="C62" s="93">
        <f>products_parts[[#This Row],[Cap]]*products_parts[Total Parallel]/products_parts[Cells in Series]</f>
        <v>26.833333333333332</v>
      </c>
      <c r="D62" s="75">
        <f>PI()*((products_parts[[#This Row],[diameter]]/2)^2)*products_parts[[#This Row],[length]]/1000000</f>
        <v>1.3351768777756623E-3</v>
      </c>
      <c r="E62" s="75">
        <f>IF(products_parts[[#This Row],[Volume (L)]]=0,products_parts[[#This Row],[Height]]*products_parts[[#This Row],[length]]*products_parts[[#This Row],[Width Total]]/1000000,products_parts[[#This Row],[Volume (L)]])</f>
        <v>1.3351768777756623E-3</v>
      </c>
      <c r="F62" s="75">
        <f>products_parts[esr_dc]*products_parts[Cells in Series]/products_parts[Total Parallel]</f>
        <v>26.086956521739129</v>
      </c>
      <c r="G62" s="75">
        <f>IF(products_parts[[#This Row],[height2]]=0,products_parts[[#This Row],[length]]-products_parts[[#This Row],[lead_space_s]],products_parts[[#This Row],[height2]])</f>
        <v>5</v>
      </c>
      <c r="H62" s="85">
        <f>IF(products_parts[[#This Row],[thickness]]=0,IF(products_parts[[#This Row],[width]]=0,products_parts[[#This Row],[diameter]],products_parts[[#This Row],[width]]),products_parts[[#This Row],[thickness]])</f>
        <v>18</v>
      </c>
      <c r="I62" s="85">
        <f>IF(products_parts[[#This Row],[voltage]]=0,1000,ROUNDUP(WorkingV/products_parts[Operating Voltage (temp)],0))</f>
        <v>3</v>
      </c>
      <c r="J62" s="75">
        <f>ROUNDUP(Constant/(WorkingV-MinV)*((products_parts[esr_dc]/1000*products_parts[[#This Row],[Cap]])+Time)*products_parts[[#This Row],[Cells in Series]]/products_parts[[#This Row],[Cap]],0)</f>
        <v>161</v>
      </c>
      <c r="K62" s="78">
        <f>ROUNDUP(((Constant/WorkingV+Constant/MinV)/2)*(((products_parts[esr_dc]/1000*products_parts[Cap]))+Time)/(WorkingV-MinV)*(products_parts[[#This Row],[Cells in Series]]/products_parts[Cap]),0)</f>
        <v>15</v>
      </c>
      <c r="L62" s="79">
        <f>IF(Calculations!$J$2=1,products_parts[Cells in Parallel],products_parts[Parallel CP])</f>
        <v>161</v>
      </c>
      <c r="M62" s="75">
        <f>products_parts[[#This Row],[Cells in Series]]*products_parts[[#This Row],[Total Parallel]]</f>
        <v>483</v>
      </c>
      <c r="N62" s="76">
        <f>products_parts[[#This Row],[Price per Cell]]*products_parts[[#This Row],[Total '# of Caps]]</f>
        <v>2294.25</v>
      </c>
      <c r="O62" s="77">
        <f>products_parts[[#This Row],[Calculated Volume]]*products_parts[[#This Row],[Total '# of Caps]]</f>
        <v>0.64489043196564488</v>
      </c>
      <c r="P62" s="77">
        <f>products_parts[[#This Row],[weight]]*products_parts[[#This Row],[Total '# of Caps]]</f>
        <v>0</v>
      </c>
      <c r="Q62" s="78" t="b">
        <f>AND(products_parts[[#This Row],[Height]]&gt;MIN(Calculations!$K$2,Calculations!$L$2),products_parts[[#This Row],[Height]]&lt;MAX(Calculations!$K$2,Calculations!$L$2))</f>
        <v>1</v>
      </c>
      <c r="R62" s="86">
        <f>IF(ISNUMBER(SEARCH("TPL",products_parts[[#This Row],[series]])),1,IF(products_parts[[#This Row],[series]]="PC",1,IF(ISNUMBER(SEARCH("PBL",products_parts[[#This Row],[series]])),2,2)))</f>
        <v>2</v>
      </c>
      <c r="S62" s="78" t="str">
        <f>IF(TempRange=2,IF(products_parts[[#This Row],[voltage2]]=0,"0","1"),"1")</f>
        <v>1</v>
      </c>
      <c r="T62" s="78">
        <f>IF(TempRange=1,products_parts[voltage],products_parts[voltage2])</f>
        <v>5.4</v>
      </c>
      <c r="U62" s="79" t="str">
        <f>IF(ISNUMBER(SEARCH("PBL ",products_parts[series])),"PBL",products_parts[series])</f>
        <v>PBL</v>
      </c>
      <c r="V62" s="87" t="s">
        <v>209</v>
      </c>
      <c r="W62" s="87" t="s">
        <v>58</v>
      </c>
      <c r="X62" s="68">
        <v>5.4</v>
      </c>
      <c r="Y62" s="68">
        <v>4.5999999999999996</v>
      </c>
      <c r="Z62" s="68">
        <v>500000</v>
      </c>
      <c r="AA62" s="68">
        <v>1400</v>
      </c>
      <c r="AB62" s="68">
        <v>0.08</v>
      </c>
      <c r="AC62" s="68">
        <v>10</v>
      </c>
      <c r="AD62" s="68">
        <v>17</v>
      </c>
      <c r="AE62" s="68">
        <v>18</v>
      </c>
      <c r="AF62" s="68">
        <v>0</v>
      </c>
      <c r="AG62" s="68">
        <v>0</v>
      </c>
      <c r="AH62" s="68">
        <v>12</v>
      </c>
      <c r="AI62" s="87" t="s">
        <v>37</v>
      </c>
      <c r="AJ62" s="87" t="s">
        <v>38</v>
      </c>
      <c r="AK62" s="68">
        <v>0</v>
      </c>
      <c r="AL62" s="68">
        <v>4.75</v>
      </c>
      <c r="AS62" s="38"/>
    </row>
    <row r="63" spans="1:45" s="37" customFormat="1" x14ac:dyDescent="0.25">
      <c r="A63" s="84">
        <f>products_parts[[#This Row],[Total Price]]+ROW()*0.0001</f>
        <v>1926.0063</v>
      </c>
      <c r="B63" s="75">
        <f>products_parts[[#This Row],[cap_uf]]/1000000</f>
        <v>0.75</v>
      </c>
      <c r="C63" s="93">
        <f>products_parts[[#This Row],[Cap]]*products_parts[Total Parallel]/products_parts[Cells in Series]</f>
        <v>26.75</v>
      </c>
      <c r="D63" s="75">
        <f>PI()*((products_parts[[#This Row],[diameter]]/2)^2)*products_parts[[#This Row],[length]]/1000000</f>
        <v>1.4922565104551519E-3</v>
      </c>
      <c r="E63" s="75">
        <f>IF(products_parts[[#This Row],[Volume (L)]]=0,products_parts[[#This Row],[Height]]*products_parts[[#This Row],[length]]*products_parts[[#This Row],[Width Total]]/1000000,products_parts[[#This Row],[Volume (L)]])</f>
        <v>1.4922565104551519E-3</v>
      </c>
      <c r="F63" s="75">
        <f>products_parts[esr_dc]*products_parts[Cells in Series]/products_parts[Total Parallel]</f>
        <v>22.990654205607477</v>
      </c>
      <c r="G63" s="75">
        <f>IF(products_parts[[#This Row],[height2]]=0,products_parts[[#This Row],[length]]-products_parts[[#This Row],[lead_space_s]],products_parts[[#This Row],[height2]])</f>
        <v>7</v>
      </c>
      <c r="H63" s="85">
        <f>IF(products_parts[[#This Row],[thickness]]=0,IF(products_parts[[#This Row],[width]]=0,products_parts[[#This Row],[diameter]],products_parts[[#This Row],[width]]),products_parts[[#This Row],[thickness]])</f>
        <v>18</v>
      </c>
      <c r="I63" s="85">
        <f>IF(products_parts[[#This Row],[voltage]]=0,1000,ROUNDUP(WorkingV/products_parts[Operating Voltage (temp)],0))</f>
        <v>3</v>
      </c>
      <c r="J63" s="75">
        <f>ROUNDUP(Constant/(WorkingV-MinV)*((products_parts[esr_dc]/1000*products_parts[[#This Row],[Cap]])+Time)*products_parts[[#This Row],[Cells in Series]]/products_parts[[#This Row],[Cap]],0)</f>
        <v>107</v>
      </c>
      <c r="K63" s="78">
        <f>ROUNDUP(((Constant/WorkingV+Constant/MinV)/2)*(((products_parts[esr_dc]/1000*products_parts[Cap]))+Time)/(WorkingV-MinV)*(products_parts[[#This Row],[Cells in Series]]/products_parts[Cap]),0)</f>
        <v>10</v>
      </c>
      <c r="L63" s="79">
        <f>IF(Calculations!$J$2=1,products_parts[Cells in Parallel],products_parts[Parallel CP])</f>
        <v>107</v>
      </c>
      <c r="M63" s="75">
        <f>products_parts[[#This Row],[Cells in Series]]*products_parts[[#This Row],[Total Parallel]]</f>
        <v>321</v>
      </c>
      <c r="N63" s="76">
        <f>products_parts[[#This Row],[Price per Cell]]*products_parts[[#This Row],[Total '# of Caps]]</f>
        <v>1926</v>
      </c>
      <c r="O63" s="77">
        <f>products_parts[[#This Row],[Calculated Volume]]*products_parts[[#This Row],[Total '# of Caps]]</f>
        <v>0.47901433985610375</v>
      </c>
      <c r="P63" s="77">
        <f>products_parts[[#This Row],[weight]]*products_parts[[#This Row],[Total '# of Caps]]</f>
        <v>0</v>
      </c>
      <c r="Q63" s="78" t="b">
        <f>AND(products_parts[[#This Row],[Height]]&gt;MIN(Calculations!$K$2,Calculations!$L$2),products_parts[[#This Row],[Height]]&lt;MAX(Calculations!$K$2,Calculations!$L$2))</f>
        <v>1</v>
      </c>
      <c r="R63" s="86">
        <f>IF(ISNUMBER(SEARCH("TPL",products_parts[[#This Row],[series]])),1,IF(products_parts[[#This Row],[series]]="PC",1,IF(ISNUMBER(SEARCH("PBL",products_parts[[#This Row],[series]])),2,2)))</f>
        <v>2</v>
      </c>
      <c r="S63" s="78" t="str">
        <f>IF(TempRange=2,IF(products_parts[[#This Row],[voltage2]]=0,"0","1"),"1")</f>
        <v>1</v>
      </c>
      <c r="T63" s="78">
        <f>IF(TempRange=1,products_parts[voltage],products_parts[voltage2])</f>
        <v>5.4</v>
      </c>
      <c r="U63" s="79" t="str">
        <f>IF(ISNUMBER(SEARCH("PBL ",products_parts[series])),"PBL",products_parts[series])</f>
        <v>PBL</v>
      </c>
      <c r="V63" s="87" t="s">
        <v>209</v>
      </c>
      <c r="W63" s="87" t="s">
        <v>59</v>
      </c>
      <c r="X63" s="68">
        <v>5.4</v>
      </c>
      <c r="Y63" s="68">
        <v>4.5999999999999996</v>
      </c>
      <c r="Z63" s="68">
        <v>750000</v>
      </c>
      <c r="AA63" s="68">
        <v>820</v>
      </c>
      <c r="AB63" s="68">
        <v>0.08</v>
      </c>
      <c r="AC63" s="68">
        <v>10</v>
      </c>
      <c r="AD63" s="68">
        <v>19</v>
      </c>
      <c r="AE63" s="68">
        <v>18</v>
      </c>
      <c r="AF63" s="68">
        <v>0</v>
      </c>
      <c r="AG63" s="68">
        <v>0</v>
      </c>
      <c r="AH63" s="68">
        <v>12</v>
      </c>
      <c r="AI63" s="87" t="s">
        <v>37</v>
      </c>
      <c r="AJ63" s="87" t="s">
        <v>38</v>
      </c>
      <c r="AK63" s="68">
        <v>0</v>
      </c>
      <c r="AL63" s="68">
        <v>6</v>
      </c>
      <c r="AS63" s="38"/>
    </row>
    <row r="64" spans="1:45" s="37" customFormat="1" x14ac:dyDescent="0.25">
      <c r="A64" s="84">
        <f>products_parts[[#This Row],[Total Price]]+ROW()*0.0001</f>
        <v>1640.2564</v>
      </c>
      <c r="B64" s="75">
        <f>products_parts[[#This Row],[cap_uf]]/1000000</f>
        <v>1</v>
      </c>
      <c r="C64" s="93">
        <f>products_parts[[#This Row],[Cap]]*products_parts[Total Parallel]/products_parts[Cells in Series]</f>
        <v>27</v>
      </c>
      <c r="D64" s="75">
        <f>PI()*((products_parts[[#This Row],[diameter]]/2)^2)*products_parts[[#This Row],[length]]/1000000</f>
        <v>1.6493361431346415E-3</v>
      </c>
      <c r="E64" s="75">
        <f>IF(products_parts[[#This Row],[Volume (L)]]=0,products_parts[[#This Row],[Height]]*products_parts[[#This Row],[length]]*products_parts[[#This Row],[Width Total]]/1000000,products_parts[[#This Row],[Volume (L)]])</f>
        <v>1.6493361431346415E-3</v>
      </c>
      <c r="F64" s="75">
        <f>products_parts[esr_dc]*products_parts[Cells in Series]/products_parts[Total Parallel]</f>
        <v>25.925925925925927</v>
      </c>
      <c r="G64" s="75">
        <f>IF(products_parts[[#This Row],[height2]]=0,products_parts[[#This Row],[length]]-products_parts[[#This Row],[lead_space_s]],products_parts[[#This Row],[height2]])</f>
        <v>9</v>
      </c>
      <c r="H64" s="85">
        <f>IF(products_parts[[#This Row],[thickness]]=0,IF(products_parts[[#This Row],[width]]=0,products_parts[[#This Row],[diameter]],products_parts[[#This Row],[width]]),products_parts[[#This Row],[thickness]])</f>
        <v>18</v>
      </c>
      <c r="I64" s="85">
        <f>IF(products_parts[[#This Row],[voltage]]=0,1000,ROUNDUP(WorkingV/products_parts[Operating Voltage (temp)],0))</f>
        <v>3</v>
      </c>
      <c r="J64" s="75">
        <f>ROUNDUP(Constant/(WorkingV-MinV)*((products_parts[esr_dc]/1000*products_parts[[#This Row],[Cap]])+Time)*products_parts[[#This Row],[Cells in Series]]/products_parts[[#This Row],[Cap]],0)</f>
        <v>81</v>
      </c>
      <c r="K64" s="78">
        <f>ROUNDUP(((Constant/WorkingV+Constant/MinV)/2)*(((products_parts[esr_dc]/1000*products_parts[Cap]))+Time)/(WorkingV-MinV)*(products_parts[[#This Row],[Cells in Series]]/products_parts[Cap]),0)</f>
        <v>8</v>
      </c>
      <c r="L64" s="79">
        <f>IF(Calculations!$J$2=1,products_parts[Cells in Parallel],products_parts[Parallel CP])</f>
        <v>81</v>
      </c>
      <c r="M64" s="75">
        <f>products_parts[[#This Row],[Cells in Series]]*products_parts[[#This Row],[Total Parallel]]</f>
        <v>243</v>
      </c>
      <c r="N64" s="76">
        <f>products_parts[[#This Row],[Price per Cell]]*products_parts[[#This Row],[Total '# of Caps]]</f>
        <v>1640.25</v>
      </c>
      <c r="O64" s="77">
        <f>products_parts[[#This Row],[Calculated Volume]]*products_parts[[#This Row],[Total '# of Caps]]</f>
        <v>0.40078868278171786</v>
      </c>
      <c r="P64" s="77">
        <f>products_parts[[#This Row],[weight]]*products_parts[[#This Row],[Total '# of Caps]]</f>
        <v>0</v>
      </c>
      <c r="Q64" s="78" t="b">
        <f>AND(products_parts[[#This Row],[Height]]&gt;MIN(Calculations!$K$2,Calculations!$L$2),products_parts[[#This Row],[Height]]&lt;MAX(Calculations!$K$2,Calculations!$L$2))</f>
        <v>1</v>
      </c>
      <c r="R64" s="86">
        <f>IF(ISNUMBER(SEARCH("TPL",products_parts[[#This Row],[series]])),1,IF(products_parts[[#This Row],[series]]="PC",1,IF(ISNUMBER(SEARCH("PBL",products_parts[[#This Row],[series]])),2,2)))</f>
        <v>2</v>
      </c>
      <c r="S64" s="86" t="str">
        <f>IF(TempRange=2,IF(products_parts[[#This Row],[voltage2]]=0,"0","1"),"1")</f>
        <v>1</v>
      </c>
      <c r="T64" s="79">
        <f>IF(TempRange=1,products_parts[voltage],products_parts[voltage2])</f>
        <v>5.4</v>
      </c>
      <c r="U64" s="79" t="str">
        <f>IF(ISNUMBER(SEARCH("PBL ",products_parts[series])),"PBL",products_parts[series])</f>
        <v>PBL</v>
      </c>
      <c r="V64" s="87" t="s">
        <v>209</v>
      </c>
      <c r="W64" s="87" t="s">
        <v>60</v>
      </c>
      <c r="X64" s="68">
        <v>5.4</v>
      </c>
      <c r="Y64" s="68">
        <v>4.5999999999999996</v>
      </c>
      <c r="Z64" s="68">
        <v>1000000</v>
      </c>
      <c r="AA64" s="68">
        <v>700</v>
      </c>
      <c r="AB64" s="68">
        <v>0.09</v>
      </c>
      <c r="AC64" s="68">
        <v>10</v>
      </c>
      <c r="AD64" s="68">
        <v>21</v>
      </c>
      <c r="AE64" s="68">
        <v>18</v>
      </c>
      <c r="AF64" s="68">
        <v>0</v>
      </c>
      <c r="AG64" s="68">
        <v>0</v>
      </c>
      <c r="AH64" s="68">
        <v>12</v>
      </c>
      <c r="AI64" s="87" t="s">
        <v>37</v>
      </c>
      <c r="AJ64" s="87" t="s">
        <v>38</v>
      </c>
      <c r="AK64" s="68">
        <v>0</v>
      </c>
      <c r="AL64" s="68">
        <v>6.75</v>
      </c>
      <c r="AS64" s="38"/>
    </row>
    <row r="65" spans="1:45" s="37" customFormat="1" x14ac:dyDescent="0.25">
      <c r="A65" s="84">
        <f>products_parts[[#This Row],[Total Price]]+ROW()*0.0001</f>
        <v>1125.0065</v>
      </c>
      <c r="B65" s="75">
        <f>products_parts[[#This Row],[cap_uf]]/1000000</f>
        <v>1.65</v>
      </c>
      <c r="C65" s="93">
        <f>products_parts[[#This Row],[Cap]]*products_parts[Total Parallel]/products_parts[Cells in Series]</f>
        <v>27.5</v>
      </c>
      <c r="D65" s="75">
        <f>PI()*((products_parts[[#This Row],[diameter]]/2)^2)*products_parts[[#This Row],[length]]/1000000</f>
        <v>2.8274333882308137E-3</v>
      </c>
      <c r="E65" s="75">
        <f>IF(products_parts[[#This Row],[Volume (L)]]=0,products_parts[[#This Row],[Height]]*products_parts[[#This Row],[length]]*products_parts[[#This Row],[Width Total]]/1000000,products_parts[[#This Row],[Volume (L)]])</f>
        <v>2.8274333882308137E-3</v>
      </c>
      <c r="F65" s="75">
        <f>products_parts[esr_dc]*products_parts[Cells in Series]/products_parts[Total Parallel]</f>
        <v>34.799999999999997</v>
      </c>
      <c r="G65" s="75">
        <f>IF(products_parts[[#This Row],[height2]]=0,products_parts[[#This Row],[length]]-products_parts[[#This Row],[lead_space_s]],products_parts[[#This Row],[height2]])</f>
        <v>13</v>
      </c>
      <c r="H65" s="85">
        <f>IF(products_parts[[#This Row],[thickness]]=0,IF(products_parts[[#This Row],[width]]=0,products_parts[[#This Row],[diameter]],products_parts[[#This Row],[width]]),products_parts[[#This Row],[thickness]])</f>
        <v>22</v>
      </c>
      <c r="I65" s="85">
        <f>IF(products_parts[[#This Row],[voltage]]=0,1000,ROUNDUP(WorkingV/products_parts[Operating Voltage (temp)],0))</f>
        <v>3</v>
      </c>
      <c r="J65" s="75">
        <f>ROUNDUP(Constant/(WorkingV-MinV)*((products_parts[esr_dc]/1000*products_parts[[#This Row],[Cap]])+Time)*products_parts[[#This Row],[Cells in Series]]/products_parts[[#This Row],[Cap]],0)</f>
        <v>50</v>
      </c>
      <c r="K65" s="78">
        <f>ROUNDUP(((Constant/WorkingV+Constant/MinV)/2)*(((products_parts[esr_dc]/1000*products_parts[Cap]))+Time)/(WorkingV-MinV)*(products_parts[[#This Row],[Cells in Series]]/products_parts[Cap]),0)</f>
        <v>5</v>
      </c>
      <c r="L65" s="79">
        <f>IF(Calculations!$J$2=1,products_parts[Cells in Parallel],products_parts[Parallel CP])</f>
        <v>50</v>
      </c>
      <c r="M65" s="75">
        <f>products_parts[[#This Row],[Cells in Series]]*products_parts[[#This Row],[Total Parallel]]</f>
        <v>150</v>
      </c>
      <c r="N65" s="76">
        <f>products_parts[[#This Row],[Price per Cell]]*products_parts[[#This Row],[Total '# of Caps]]</f>
        <v>1125</v>
      </c>
      <c r="O65" s="77">
        <f>products_parts[[#This Row],[Calculated Volume]]*products_parts[[#This Row],[Total '# of Caps]]</f>
        <v>0.42411500823462206</v>
      </c>
      <c r="P65" s="77">
        <f>products_parts[[#This Row],[weight]]*products_parts[[#This Row],[Total '# of Caps]]</f>
        <v>0</v>
      </c>
      <c r="Q65" s="78" t="b">
        <f>AND(products_parts[[#This Row],[Height]]&gt;MIN(Calculations!$K$2,Calculations!$L$2),products_parts[[#This Row],[Height]]&lt;MAX(Calculations!$K$2,Calculations!$L$2))</f>
        <v>1</v>
      </c>
      <c r="R65" s="86">
        <f>IF(ISNUMBER(SEARCH("TPL",products_parts[[#This Row],[series]])),1,IF(products_parts[[#This Row],[series]]="PC",1,IF(ISNUMBER(SEARCH("PBL",products_parts[[#This Row],[series]])),2,2)))</f>
        <v>2</v>
      </c>
      <c r="S65" s="86" t="str">
        <f>IF(TempRange=2,IF(products_parts[[#This Row],[voltage2]]=0,"0","1"),"1")</f>
        <v>1</v>
      </c>
      <c r="T65" s="79">
        <f>IF(TempRange=1,products_parts[voltage],products_parts[voltage2])</f>
        <v>5.4</v>
      </c>
      <c r="U65" s="79" t="str">
        <f>IF(ISNUMBER(SEARCH("PBL ",products_parts[series])),"PBL",products_parts[series])</f>
        <v>PBL</v>
      </c>
      <c r="V65" s="87" t="s">
        <v>209</v>
      </c>
      <c r="W65" s="87" t="s">
        <v>61</v>
      </c>
      <c r="X65" s="68">
        <v>5.4</v>
      </c>
      <c r="Y65" s="68">
        <v>4.5999999999999996</v>
      </c>
      <c r="Z65" s="68">
        <v>1650000</v>
      </c>
      <c r="AA65" s="68">
        <v>580</v>
      </c>
      <c r="AB65" s="68">
        <v>0.18</v>
      </c>
      <c r="AC65" s="68">
        <v>12</v>
      </c>
      <c r="AD65" s="68">
        <v>25</v>
      </c>
      <c r="AE65" s="68">
        <v>22</v>
      </c>
      <c r="AF65" s="68">
        <v>0</v>
      </c>
      <c r="AG65" s="68">
        <v>0</v>
      </c>
      <c r="AH65" s="68">
        <v>12</v>
      </c>
      <c r="AI65" s="87" t="s">
        <v>37</v>
      </c>
      <c r="AJ65" s="87" t="s">
        <v>38</v>
      </c>
      <c r="AK65" s="68">
        <v>0</v>
      </c>
      <c r="AL65" s="68">
        <v>7.5</v>
      </c>
      <c r="AS65" s="38"/>
    </row>
    <row r="66" spans="1:45" s="37" customFormat="1" x14ac:dyDescent="0.25">
      <c r="A66" s="84">
        <f>products_parts[[#This Row],[Total Price]]+ROW()*0.0001</f>
        <v>342.00659999999999</v>
      </c>
      <c r="B66" s="75">
        <f>products_parts[[#This Row],[cap_uf]]/1000000</f>
        <v>15</v>
      </c>
      <c r="C66" s="93">
        <f>products_parts[[#This Row],[Cap]]*products_parts[Total Parallel]/products_parts[Cells in Series]</f>
        <v>30</v>
      </c>
      <c r="D66" s="75">
        <f>PI()*((products_parts[[#This Row],[diameter]]/2)^2)*products_parts[[#This Row],[length]]/1000000</f>
        <v>8.2982224701461643E-3</v>
      </c>
      <c r="E66" s="75">
        <f>IF(products_parts[[#This Row],[Volume (L)]]=0,products_parts[[#This Row],[Height]]*products_parts[[#This Row],[length]]*products_parts[[#This Row],[Width Total]]/1000000,products_parts[[#This Row],[Volume (L)]])</f>
        <v>8.2982224701461643E-3</v>
      </c>
      <c r="F66" s="75">
        <f>products_parts[esr_dc]*products_parts[Cells in Series]/products_parts[Total Parallel]</f>
        <v>35</v>
      </c>
      <c r="G66" s="75">
        <f>IF(products_parts[[#This Row],[height2]]=0,products_parts[[#This Row],[length]]-products_parts[[#This Row],[lead_space_s]],products_parts[[#This Row],[height2]])</f>
        <v>10.399999999999999</v>
      </c>
      <c r="H66" s="85">
        <f>IF(products_parts[[#This Row],[thickness]]=0,IF(products_parts[[#This Row],[width]]=0,products_parts[[#This Row],[diameter]],products_parts[[#This Row],[width]]),products_parts[[#This Row],[thickness]])</f>
        <v>34</v>
      </c>
      <c r="I66" s="85">
        <f>IF(products_parts[[#This Row],[voltage]]=0,1000,ROUNDUP(WorkingV/products_parts[Operating Voltage (temp)],0))</f>
        <v>3</v>
      </c>
      <c r="J66" s="75">
        <f>ROUNDUP(Constant/(WorkingV-MinV)*((products_parts[esr_dc]/1000*products_parts[[#This Row],[Cap]])+Time)*products_parts[[#This Row],[Cells in Series]]/products_parts[[#This Row],[Cap]],0)</f>
        <v>6</v>
      </c>
      <c r="K66" s="79">
        <f>ROUNDUP(((Constant/WorkingV+Constant/MinV)/2)*(((products_parts[esr_dc]/1000*products_parts[Cap]))+Time)/(WorkingV-MinV)*(products_parts[[#This Row],[Cells in Series]]/products_parts[Cap]),0)</f>
        <v>1</v>
      </c>
      <c r="L66" s="79">
        <f>IF(Calculations!$J$2=1,products_parts[Cells in Parallel],products_parts[Parallel CP])</f>
        <v>6</v>
      </c>
      <c r="M66" s="75">
        <f>products_parts[[#This Row],[Cells in Series]]*products_parts[[#This Row],[Total Parallel]]</f>
        <v>18</v>
      </c>
      <c r="N66" s="76">
        <f>products_parts[[#This Row],[Price per Cell]]*products_parts[[#This Row],[Total '# of Caps]]</f>
        <v>342</v>
      </c>
      <c r="O66" s="77">
        <f>products_parts[[#This Row],[Calculated Volume]]*products_parts[[#This Row],[Total '# of Caps]]</f>
        <v>0.14936800446263096</v>
      </c>
      <c r="P66" s="77">
        <f>products_parts[[#This Row],[weight]]*products_parts[[#This Row],[Total '# of Caps]]</f>
        <v>0</v>
      </c>
      <c r="Q66" s="78" t="b">
        <f>AND(products_parts[[#This Row],[Height]]&gt;MIN(Calculations!$K$2,Calculations!$L$2),products_parts[[#This Row],[Height]]&lt;MAX(Calculations!$K$2,Calculations!$L$2))</f>
        <v>1</v>
      </c>
      <c r="R66" s="86">
        <f>IF(ISNUMBER(SEARCH("TPL",products_parts[[#This Row],[series]])),1,IF(products_parts[[#This Row],[series]]="PC",1,IF(ISNUMBER(SEARCH("PBL",products_parts[[#This Row],[series]])),2,2)))</f>
        <v>2</v>
      </c>
      <c r="S66" s="78" t="str">
        <f>IF(TempRange=2,IF(products_parts[[#This Row],[voltage2]]=0,"0","1"),"1")</f>
        <v>1</v>
      </c>
      <c r="T66" s="78">
        <f>IF(TempRange=1,products_parts[voltage],products_parts[voltage2])</f>
        <v>5.4</v>
      </c>
      <c r="U66" s="79" t="str">
        <f>IF(ISNUMBER(SEARCH("PBL ",products_parts[series])),"PBL",products_parts[series])</f>
        <v>PBL</v>
      </c>
      <c r="V66" s="87" t="s">
        <v>209</v>
      </c>
      <c r="W66" s="87" t="s">
        <v>63</v>
      </c>
      <c r="X66" s="68">
        <v>5.4</v>
      </c>
      <c r="Y66" s="68">
        <v>4.5999999999999996</v>
      </c>
      <c r="Z66" s="68">
        <v>15000000</v>
      </c>
      <c r="AA66" s="68">
        <v>70</v>
      </c>
      <c r="AB66" s="68">
        <v>0.62</v>
      </c>
      <c r="AC66" s="68">
        <v>17.5</v>
      </c>
      <c r="AD66" s="68">
        <v>34.5</v>
      </c>
      <c r="AE66" s="68">
        <v>34</v>
      </c>
      <c r="AF66" s="68">
        <v>0</v>
      </c>
      <c r="AG66" s="68">
        <v>0</v>
      </c>
      <c r="AH66" s="68">
        <v>24.1</v>
      </c>
      <c r="AI66" s="87" t="s">
        <v>37</v>
      </c>
      <c r="AJ66" s="87" t="s">
        <v>38</v>
      </c>
      <c r="AK66" s="68">
        <v>0</v>
      </c>
      <c r="AL66" s="68">
        <v>19</v>
      </c>
      <c r="AS66" s="38"/>
    </row>
    <row r="67" spans="1:45" s="37" customFormat="1" x14ac:dyDescent="0.25">
      <c r="A67" s="84">
        <f>products_parts[[#This Row],[Total Price]]+ROW()*0.0001</f>
        <v>1134.0066999999999</v>
      </c>
      <c r="B67" s="75">
        <f>products_parts[[#This Row],[cap_uf]]/1000000</f>
        <v>2</v>
      </c>
      <c r="C67" s="93">
        <f>products_parts[[#This Row],[Cap]]*products_parts[Total Parallel]/products_parts[Cells in Series]</f>
        <v>28</v>
      </c>
      <c r="D67" s="75">
        <f>PI()*((products_parts[[#This Row],[diameter]]/2)^2)*products_parts[[#This Row],[length]]/1000000</f>
        <v>2.8274333882308137E-3</v>
      </c>
      <c r="E67" s="75">
        <f>IF(products_parts[[#This Row],[Volume (L)]]=0,products_parts[[#This Row],[Height]]*products_parts[[#This Row],[length]]*products_parts[[#This Row],[Width Total]]/1000000,products_parts[[#This Row],[Volume (L)]])</f>
        <v>2.8274333882308137E-3</v>
      </c>
      <c r="F67" s="75">
        <f>products_parts[esr_dc]*products_parts[Cells in Series]/products_parts[Total Parallel]</f>
        <v>35.714285714285715</v>
      </c>
      <c r="G67" s="75">
        <f>IF(products_parts[[#This Row],[height2]]=0,products_parts[[#This Row],[length]]-products_parts[[#This Row],[lead_space_s]],products_parts[[#This Row],[height2]])</f>
        <v>9.6</v>
      </c>
      <c r="H67" s="85">
        <f>IF(products_parts[[#This Row],[thickness]]=0,IF(products_parts[[#This Row],[width]]=0,products_parts[[#This Row],[diameter]],products_parts[[#This Row],[width]]),products_parts[[#This Row],[thickness]])</f>
        <v>22</v>
      </c>
      <c r="I67" s="85">
        <f>IF(products_parts[[#This Row],[voltage]]=0,1000,ROUNDUP(WorkingV/products_parts[Operating Voltage (temp)],0))</f>
        <v>3</v>
      </c>
      <c r="J67" s="75">
        <f>ROUNDUP(Constant/(WorkingV-MinV)*((products_parts[esr_dc]/1000*products_parts[[#This Row],[Cap]])+Time)*products_parts[[#This Row],[Cells in Series]]/products_parts[[#This Row],[Cap]],0)</f>
        <v>42</v>
      </c>
      <c r="K67" s="78">
        <f>ROUNDUP(((Constant/WorkingV+Constant/MinV)/2)*(((products_parts[esr_dc]/1000*products_parts[Cap]))+Time)/(WorkingV-MinV)*(products_parts[[#This Row],[Cells in Series]]/products_parts[Cap]),0)</f>
        <v>4</v>
      </c>
      <c r="L67" s="79">
        <f>IF(Calculations!$J$2=1,products_parts[Cells in Parallel],products_parts[Parallel CP])</f>
        <v>42</v>
      </c>
      <c r="M67" s="75">
        <f>products_parts[[#This Row],[Cells in Series]]*products_parts[[#This Row],[Total Parallel]]</f>
        <v>126</v>
      </c>
      <c r="N67" s="76">
        <f>products_parts[[#This Row],[Price per Cell]]*products_parts[[#This Row],[Total '# of Caps]]</f>
        <v>1134</v>
      </c>
      <c r="O67" s="77">
        <f>products_parts[[#This Row],[Calculated Volume]]*products_parts[[#This Row],[Total '# of Caps]]</f>
        <v>0.3562566069170825</v>
      </c>
      <c r="P67" s="77">
        <f>products_parts[[#This Row],[weight]]*products_parts[[#This Row],[Total '# of Caps]]</f>
        <v>0</v>
      </c>
      <c r="Q67" s="78" t="b">
        <f>AND(products_parts[[#This Row],[Height]]&gt;MIN(Calculations!$K$2,Calculations!$L$2),products_parts[[#This Row],[Height]]&lt;MAX(Calculations!$K$2,Calculations!$L$2))</f>
        <v>1</v>
      </c>
      <c r="R67" s="86">
        <f>IF(ISNUMBER(SEARCH("TPL",products_parts[[#This Row],[series]])),1,IF(products_parts[[#This Row],[series]]="PC",1,IF(ISNUMBER(SEARCH("PBL",products_parts[[#This Row],[series]])),2,2)))</f>
        <v>2</v>
      </c>
      <c r="S67" s="78" t="str">
        <f>IF(TempRange=2,IF(products_parts[[#This Row],[voltage2]]=0,"0","1"),"1")</f>
        <v>1</v>
      </c>
      <c r="T67" s="78">
        <f>IF(TempRange=1,products_parts[voltage],products_parts[voltage2])</f>
        <v>5.4</v>
      </c>
      <c r="U67" s="79" t="str">
        <f>IF(ISNUMBER(SEARCH("PBL ",products_parts[series])),"PBL",products_parts[series])</f>
        <v>PBL</v>
      </c>
      <c r="V67" s="87" t="s">
        <v>209</v>
      </c>
      <c r="W67" s="87" t="s">
        <v>64</v>
      </c>
      <c r="X67" s="68">
        <v>5.4</v>
      </c>
      <c r="Y67" s="68">
        <v>4.5999999999999996</v>
      </c>
      <c r="Z67" s="68">
        <v>2000000</v>
      </c>
      <c r="AA67" s="68">
        <v>500</v>
      </c>
      <c r="AB67" s="68">
        <v>0.19</v>
      </c>
      <c r="AC67" s="68">
        <v>12</v>
      </c>
      <c r="AD67" s="68">
        <v>25</v>
      </c>
      <c r="AE67" s="68">
        <v>22</v>
      </c>
      <c r="AF67" s="68">
        <v>0</v>
      </c>
      <c r="AG67" s="68">
        <v>0</v>
      </c>
      <c r="AH67" s="68">
        <v>15.4</v>
      </c>
      <c r="AI67" s="87" t="s">
        <v>37</v>
      </c>
      <c r="AJ67" s="87" t="s">
        <v>38</v>
      </c>
      <c r="AK67" s="68">
        <v>0</v>
      </c>
      <c r="AL67" s="68">
        <v>9</v>
      </c>
      <c r="AS67" s="38"/>
    </row>
    <row r="68" spans="1:45" s="37" customFormat="1" x14ac:dyDescent="0.25">
      <c r="A68" s="84">
        <f>products_parts[[#This Row],[Total Price]]+ROW()*0.0001</f>
        <v>990.0068</v>
      </c>
      <c r="B68" s="75">
        <f>products_parts[[#This Row],[cap_uf]]/1000000</f>
        <v>2.5</v>
      </c>
      <c r="C68" s="93">
        <f>products_parts[[#This Row],[Cap]]*products_parts[Total Parallel]/products_parts[Cells in Series]</f>
        <v>27.5</v>
      </c>
      <c r="D68" s="75">
        <f>PI()*((products_parts[[#This Row],[diameter]]/2)^2)*products_parts[[#This Row],[length]]/1000000</f>
        <v>2.8274333882308137E-3</v>
      </c>
      <c r="E68" s="75">
        <f>IF(products_parts[[#This Row],[Volume (L)]]=0,products_parts[[#This Row],[Height]]*products_parts[[#This Row],[length]]*products_parts[[#This Row],[Width Total]]/1000000,products_parts[[#This Row],[Volume (L)]])</f>
        <v>2.8274333882308137E-3</v>
      </c>
      <c r="F68" s="75">
        <f>products_parts[esr_dc]*products_parts[Cells in Series]/products_parts[Total Parallel]</f>
        <v>29.09090909090909</v>
      </c>
      <c r="G68" s="75">
        <f>IF(products_parts[[#This Row],[height2]]=0,products_parts[[#This Row],[length]]-products_parts[[#This Row],[lead_space_s]],products_parts[[#This Row],[height2]])</f>
        <v>9.6</v>
      </c>
      <c r="H68" s="85">
        <f>IF(products_parts[[#This Row],[thickness]]=0,IF(products_parts[[#This Row],[width]]=0,products_parts[[#This Row],[diameter]],products_parts[[#This Row],[width]]),products_parts[[#This Row],[thickness]])</f>
        <v>22</v>
      </c>
      <c r="I68" s="85">
        <f>IF(products_parts[[#This Row],[voltage]]=0,1000,ROUNDUP(WorkingV/products_parts[Operating Voltage (temp)],0))</f>
        <v>3</v>
      </c>
      <c r="J68" s="75">
        <f>ROUNDUP(Constant/(WorkingV-MinV)*((products_parts[esr_dc]/1000*products_parts[[#This Row],[Cap]])+Time)*products_parts[[#This Row],[Cells in Series]]/products_parts[[#This Row],[Cap]],0)</f>
        <v>33</v>
      </c>
      <c r="K68" s="79">
        <f>ROUNDUP(((Constant/WorkingV+Constant/MinV)/2)*(((products_parts[esr_dc]/1000*products_parts[Cap]))+Time)/(WorkingV-MinV)*(products_parts[[#This Row],[Cells in Series]]/products_parts[Cap]),0)</f>
        <v>3</v>
      </c>
      <c r="L68" s="79">
        <f>IF(Calculations!$J$2=1,products_parts[Cells in Parallel],products_parts[Parallel CP])</f>
        <v>33</v>
      </c>
      <c r="M68" s="75">
        <f>products_parts[[#This Row],[Cells in Series]]*products_parts[[#This Row],[Total Parallel]]</f>
        <v>99</v>
      </c>
      <c r="N68" s="76">
        <f>products_parts[[#This Row],[Price per Cell]]*products_parts[[#This Row],[Total '# of Caps]]</f>
        <v>990</v>
      </c>
      <c r="O68" s="77">
        <f>products_parts[[#This Row],[Calculated Volume]]*products_parts[[#This Row],[Total '# of Caps]]</f>
        <v>0.27991590543485056</v>
      </c>
      <c r="P68" s="77">
        <f>products_parts[[#This Row],[weight]]*products_parts[[#This Row],[Total '# of Caps]]</f>
        <v>0</v>
      </c>
      <c r="Q68" s="78" t="b">
        <f>AND(products_parts[[#This Row],[Height]]&gt;MIN(Calculations!$K$2,Calculations!$L$2),products_parts[[#This Row],[Height]]&lt;MAX(Calculations!$K$2,Calculations!$L$2))</f>
        <v>1</v>
      </c>
      <c r="R68" s="86">
        <f>IF(ISNUMBER(SEARCH("TPL",products_parts[[#This Row],[series]])),1,IF(products_parts[[#This Row],[series]]="PC",1,IF(ISNUMBER(SEARCH("PBL",products_parts[[#This Row],[series]])),2,2)))</f>
        <v>2</v>
      </c>
      <c r="S68" s="86" t="str">
        <f>IF(TempRange=2,IF(products_parts[[#This Row],[voltage2]]=0,"0","1"),"1")</f>
        <v>1</v>
      </c>
      <c r="T68" s="78">
        <f>IF(TempRange=1,products_parts[voltage],products_parts[voltage2])</f>
        <v>5.4</v>
      </c>
      <c r="U68" s="79" t="str">
        <f>IF(ISNUMBER(SEARCH("PBL ",products_parts[series])),"PBL",products_parts[series])</f>
        <v>PBL</v>
      </c>
      <c r="V68" s="87" t="s">
        <v>209</v>
      </c>
      <c r="W68" s="87" t="s">
        <v>65</v>
      </c>
      <c r="X68" s="68">
        <v>5.4</v>
      </c>
      <c r="Y68" s="68">
        <v>4.5999999999999996</v>
      </c>
      <c r="Z68" s="68">
        <v>2500000</v>
      </c>
      <c r="AA68" s="68">
        <v>320</v>
      </c>
      <c r="AB68" s="68">
        <v>0.19</v>
      </c>
      <c r="AC68" s="68">
        <v>12</v>
      </c>
      <c r="AD68" s="68">
        <v>25</v>
      </c>
      <c r="AE68" s="68">
        <v>22</v>
      </c>
      <c r="AF68" s="68">
        <v>0</v>
      </c>
      <c r="AG68" s="68">
        <v>0</v>
      </c>
      <c r="AH68" s="68">
        <v>15.4</v>
      </c>
      <c r="AI68" s="87" t="s">
        <v>37</v>
      </c>
      <c r="AJ68" s="87" t="s">
        <v>38</v>
      </c>
      <c r="AK68" s="68">
        <v>0</v>
      </c>
      <c r="AL68" s="68">
        <v>10</v>
      </c>
      <c r="AS68" s="38"/>
    </row>
    <row r="69" spans="1:45" s="37" customFormat="1" x14ac:dyDescent="0.25">
      <c r="A69" s="84">
        <f>products_parts[[#This Row],[Total Price]]+ROW()*0.0001</f>
        <v>810.00689999999997</v>
      </c>
      <c r="B69" s="75">
        <f>products_parts[[#This Row],[cap_uf]]/1000000</f>
        <v>3</v>
      </c>
      <c r="C69" s="93">
        <f>products_parts[[#This Row],[Cap]]*products_parts[Total Parallel]/products_parts[Cells in Series]</f>
        <v>27</v>
      </c>
      <c r="D69" s="75">
        <f>PI()*((products_parts[[#This Row],[diameter]]/2)^2)*products_parts[[#This Row],[length]]/1000000</f>
        <v>2.8274333882308137E-3</v>
      </c>
      <c r="E69" s="75">
        <f>IF(products_parts[[#This Row],[Volume (L)]]=0,products_parts[[#This Row],[Height]]*products_parts[[#This Row],[length]]*products_parts[[#This Row],[Width Total]]/1000000,products_parts[[#This Row],[Volume (L)]])</f>
        <v>2.8274333882308137E-3</v>
      </c>
      <c r="F69" s="75">
        <f>products_parts[esr_dc]*products_parts[Cells in Series]/products_parts[Total Parallel]</f>
        <v>28.888888888888889</v>
      </c>
      <c r="G69" s="75">
        <f>IF(products_parts[[#This Row],[height2]]=0,products_parts[[#This Row],[length]]-products_parts[[#This Row],[lead_space_s]],products_parts[[#This Row],[height2]])</f>
        <v>9.6</v>
      </c>
      <c r="H69" s="85">
        <f>IF(products_parts[[#This Row],[thickness]]=0,IF(products_parts[[#This Row],[width]]=0,products_parts[[#This Row],[diameter]],products_parts[[#This Row],[width]]),products_parts[[#This Row],[thickness]])</f>
        <v>22</v>
      </c>
      <c r="I69" s="85">
        <f>IF(products_parts[[#This Row],[voltage]]=0,1000,ROUNDUP(WorkingV/products_parts[Operating Voltage (temp)],0))</f>
        <v>3</v>
      </c>
      <c r="J69" s="75">
        <f>ROUNDUP(Constant/(WorkingV-MinV)*((products_parts[esr_dc]/1000*products_parts[[#This Row],[Cap]])+Time)*products_parts[[#This Row],[Cells in Series]]/products_parts[[#This Row],[Cap]],0)</f>
        <v>27</v>
      </c>
      <c r="K69" s="78">
        <f>ROUNDUP(((Constant/WorkingV+Constant/MinV)/2)*(((products_parts[esr_dc]/1000*products_parts[Cap]))+Time)/(WorkingV-MinV)*(products_parts[[#This Row],[Cells in Series]]/products_parts[Cap]),0)</f>
        <v>3</v>
      </c>
      <c r="L69" s="79">
        <f>IF(Calculations!$J$2=1,products_parts[Cells in Parallel],products_parts[Parallel CP])</f>
        <v>27</v>
      </c>
      <c r="M69" s="75">
        <f>products_parts[[#This Row],[Cells in Series]]*products_parts[[#This Row],[Total Parallel]]</f>
        <v>81</v>
      </c>
      <c r="N69" s="76">
        <f>products_parts[[#This Row],[Price per Cell]]*products_parts[[#This Row],[Total '# of Caps]]</f>
        <v>810</v>
      </c>
      <c r="O69" s="77">
        <f>products_parts[[#This Row],[Calculated Volume]]*products_parts[[#This Row],[Total '# of Caps]]</f>
        <v>0.22902210444669591</v>
      </c>
      <c r="P69" s="77">
        <f>products_parts[[#This Row],[weight]]*products_parts[[#This Row],[Total '# of Caps]]</f>
        <v>0</v>
      </c>
      <c r="Q69" s="78" t="b">
        <f>AND(products_parts[[#This Row],[Height]]&gt;MIN(Calculations!$K$2,Calculations!$L$2),products_parts[[#This Row],[Height]]&lt;MAX(Calculations!$K$2,Calculations!$L$2))</f>
        <v>1</v>
      </c>
      <c r="R69" s="86">
        <f>IF(ISNUMBER(SEARCH("TPL",products_parts[[#This Row],[series]])),1,IF(products_parts[[#This Row],[series]]="PC",1,IF(ISNUMBER(SEARCH("PBL",products_parts[[#This Row],[series]])),2,2)))</f>
        <v>2</v>
      </c>
      <c r="S69" s="86" t="str">
        <f>IF(TempRange=2,IF(products_parts[[#This Row],[voltage2]]=0,"0","1"),"1")</f>
        <v>1</v>
      </c>
      <c r="T69" s="79">
        <f>IF(TempRange=1,products_parts[voltage],products_parts[voltage2])</f>
        <v>5.4</v>
      </c>
      <c r="U69" s="79" t="str">
        <f>IF(ISNUMBER(SEARCH("PBL ",products_parts[series])),"PBL",products_parts[series])</f>
        <v>PBL</v>
      </c>
      <c r="V69" s="87" t="s">
        <v>209</v>
      </c>
      <c r="W69" s="87" t="s">
        <v>67</v>
      </c>
      <c r="X69" s="68">
        <v>5.4</v>
      </c>
      <c r="Y69" s="68">
        <v>4.5999999999999996</v>
      </c>
      <c r="Z69" s="68">
        <v>3000000</v>
      </c>
      <c r="AA69" s="68">
        <v>260</v>
      </c>
      <c r="AB69" s="68">
        <v>0.19</v>
      </c>
      <c r="AC69" s="68">
        <v>12</v>
      </c>
      <c r="AD69" s="68">
        <v>25</v>
      </c>
      <c r="AE69" s="68">
        <v>22</v>
      </c>
      <c r="AF69" s="68">
        <v>0</v>
      </c>
      <c r="AG69" s="68">
        <v>0</v>
      </c>
      <c r="AH69" s="68">
        <v>15.4</v>
      </c>
      <c r="AI69" s="87" t="s">
        <v>37</v>
      </c>
      <c r="AJ69" s="87" t="s">
        <v>38</v>
      </c>
      <c r="AK69" s="68">
        <v>0</v>
      </c>
      <c r="AL69" s="68">
        <v>10</v>
      </c>
      <c r="AS69" s="38"/>
    </row>
    <row r="70" spans="1:45" s="37" customFormat="1" x14ac:dyDescent="0.25">
      <c r="A70" s="84">
        <f>products_parts[[#This Row],[Total Price]]+ROW()*0.0001</f>
        <v>360.00700000000001</v>
      </c>
      <c r="B70" s="75">
        <f>products_parts[[#This Row],[cap_uf]]/1000000</f>
        <v>11</v>
      </c>
      <c r="C70" s="93">
        <f>products_parts[[#This Row],[Cap]]*products_parts[Total Parallel]/products_parts[Cells in Series]</f>
        <v>29.333333333333332</v>
      </c>
      <c r="D70" s="75">
        <f>PI()*((products_parts[[#This Row],[diameter]]/2)^2)*products_parts[[#This Row],[length]]/1000000</f>
        <v>5.5108443882486199E-3</v>
      </c>
      <c r="E70" s="75">
        <f>IF(products_parts[[#This Row],[Volume (L)]]=0,products_parts[[#This Row],[Height]]*products_parts[[#This Row],[length]]*products_parts[[#This Row],[Width Total]]/1000000,products_parts[[#This Row],[Volume (L)]])</f>
        <v>5.5108443882486199E-3</v>
      </c>
      <c r="F70" s="75">
        <f>products_parts[esr_dc]*products_parts[Cells in Series]/products_parts[Total Parallel]</f>
        <v>33.75</v>
      </c>
      <c r="G70" s="75">
        <f>IF(products_parts[[#This Row],[height2]]=0,products_parts[[#This Row],[length]]-products_parts[[#This Row],[lead_space_s]],products_parts[[#This Row],[height2]])</f>
        <v>20.3</v>
      </c>
      <c r="H70" s="85">
        <f>IF(products_parts[[#This Row],[thickness]]=0,IF(products_parts[[#This Row],[width]]=0,products_parts[[#This Row],[diameter]],products_parts[[#This Row],[width]]),products_parts[[#This Row],[thickness]])</f>
        <v>26</v>
      </c>
      <c r="I70" s="85">
        <f>IF(products_parts[[#This Row],[voltage]]=0,1000,ROUNDUP(WorkingV/products_parts[Operating Voltage (temp)],0))</f>
        <v>3</v>
      </c>
      <c r="J70" s="75">
        <f>ROUNDUP(Constant/(WorkingV-MinV)*((products_parts[esr_dc]/1000*products_parts[[#This Row],[Cap]])+Time)*products_parts[[#This Row],[Cells in Series]]/products_parts[[#This Row],[Cap]],0)</f>
        <v>8</v>
      </c>
      <c r="K70" s="79">
        <f>ROUNDUP(((Constant/WorkingV+Constant/MinV)/2)*(((products_parts[esr_dc]/1000*products_parts[Cap]))+Time)/(WorkingV-MinV)*(products_parts[[#This Row],[Cells in Series]]/products_parts[Cap]),0)</f>
        <v>1</v>
      </c>
      <c r="L70" s="79">
        <f>IF(Calculations!$J$2=1,products_parts[Cells in Parallel],products_parts[Parallel CP])</f>
        <v>8</v>
      </c>
      <c r="M70" s="75">
        <f>products_parts[[#This Row],[Cells in Series]]*products_parts[[#This Row],[Total Parallel]]</f>
        <v>24</v>
      </c>
      <c r="N70" s="76">
        <f>products_parts[[#This Row],[Price per Cell]]*products_parts[[#This Row],[Total '# of Caps]]</f>
        <v>360</v>
      </c>
      <c r="O70" s="77">
        <f>products_parts[[#This Row],[Calculated Volume]]*products_parts[[#This Row],[Total '# of Caps]]</f>
        <v>0.13226026531796686</v>
      </c>
      <c r="P70" s="77">
        <f>products_parts[[#This Row],[weight]]*products_parts[[#This Row],[Total '# of Caps]]</f>
        <v>0</v>
      </c>
      <c r="Q70" s="78" t="b">
        <f>AND(products_parts[[#This Row],[Height]]&gt;MIN(Calculations!$K$2,Calculations!$L$2),products_parts[[#This Row],[Height]]&lt;MAX(Calculations!$K$2,Calculations!$L$2))</f>
        <v>1</v>
      </c>
      <c r="R70" s="86">
        <f>IF(ISNUMBER(SEARCH("TPL",products_parts[[#This Row],[series]])),1,IF(products_parts[[#This Row],[series]]="PC",1,IF(ISNUMBER(SEARCH("PBL",products_parts[[#This Row],[series]])),2,2)))</f>
        <v>2</v>
      </c>
      <c r="S70" s="86" t="str">
        <f>IF(TempRange=2,IF(products_parts[[#This Row],[voltage2]]=0,"0","1"),"1")</f>
        <v>1</v>
      </c>
      <c r="T70" s="79">
        <f>IF(TempRange=1,products_parts[voltage],products_parts[voltage2])</f>
        <v>5.4</v>
      </c>
      <c r="U70" s="79" t="str">
        <f>IF(ISNUMBER(SEARCH("PBL ",products_parts[series])),"PBL",products_parts[series])</f>
        <v>PBL</v>
      </c>
      <c r="V70" s="87" t="s">
        <v>209</v>
      </c>
      <c r="W70" s="87" t="s">
        <v>62</v>
      </c>
      <c r="X70" s="68">
        <v>5.4</v>
      </c>
      <c r="Y70" s="68">
        <v>4.5999999999999996</v>
      </c>
      <c r="Z70" s="68">
        <v>11000000</v>
      </c>
      <c r="AA70" s="68">
        <v>90</v>
      </c>
      <c r="AB70" s="68">
        <v>0.57999999999999996</v>
      </c>
      <c r="AC70" s="68">
        <v>13.5</v>
      </c>
      <c r="AD70" s="68">
        <v>38.5</v>
      </c>
      <c r="AE70" s="68">
        <v>26</v>
      </c>
      <c r="AF70" s="68">
        <v>0</v>
      </c>
      <c r="AG70" s="68">
        <v>0</v>
      </c>
      <c r="AH70" s="68">
        <v>18.2</v>
      </c>
      <c r="AI70" s="87" t="s">
        <v>37</v>
      </c>
      <c r="AJ70" s="87" t="s">
        <v>38</v>
      </c>
      <c r="AK70" s="68">
        <v>0</v>
      </c>
      <c r="AL70" s="68">
        <v>15</v>
      </c>
      <c r="AS70" s="38"/>
    </row>
    <row r="71" spans="1:45" s="37" customFormat="1" x14ac:dyDescent="0.25">
      <c r="A71" s="84">
        <f>products_parts[[#This Row],[Total Price]]+ROW()*0.0001</f>
        <v>661.50710000000004</v>
      </c>
      <c r="B71" s="75">
        <f>products_parts[[#This Row],[cap_uf]]/1000000</f>
        <v>4</v>
      </c>
      <c r="C71" s="93">
        <f>products_parts[[#This Row],[Cap]]*products_parts[Total Parallel]/products_parts[Cells in Series]</f>
        <v>28</v>
      </c>
      <c r="D71" s="75">
        <f>PI()*((products_parts[[#This Row],[diameter]]/2)^2)*products_parts[[#This Row],[length]]/1000000</f>
        <v>3.3929200658769764E-3</v>
      </c>
      <c r="E71" s="75">
        <f>IF(products_parts[[#This Row],[Volume (L)]]=0,products_parts[[#This Row],[Height]]*products_parts[[#This Row],[length]]*products_parts[[#This Row],[Width Total]]/1000000,products_parts[[#This Row],[Volume (L)]])</f>
        <v>3.3929200658769764E-3</v>
      </c>
      <c r="F71" s="75">
        <f>products_parts[esr_dc]*products_parts[Cells in Series]/products_parts[Total Parallel]</f>
        <v>28.571428571428573</v>
      </c>
      <c r="G71" s="75">
        <f>IF(products_parts[[#This Row],[height2]]=0,products_parts[[#This Row],[length]]-products_parts[[#This Row],[lead_space_s]],products_parts[[#This Row],[height2]])</f>
        <v>14.6</v>
      </c>
      <c r="H71" s="85">
        <f>IF(products_parts[[#This Row],[thickness]]=0,IF(products_parts[[#This Row],[width]]=0,products_parts[[#This Row],[diameter]],products_parts[[#This Row],[width]]),products_parts[[#This Row],[thickness]])</f>
        <v>22</v>
      </c>
      <c r="I71" s="85">
        <f>IF(products_parts[[#This Row],[voltage]]=0,1000,ROUNDUP(WorkingV/products_parts[Operating Voltage (temp)],0))</f>
        <v>3</v>
      </c>
      <c r="J71" s="75">
        <f>ROUNDUP(Constant/(WorkingV-MinV)*((products_parts[esr_dc]/1000*products_parts[[#This Row],[Cap]])+Time)*products_parts[[#This Row],[Cells in Series]]/products_parts[[#This Row],[Cap]],0)</f>
        <v>21</v>
      </c>
      <c r="K71" s="78">
        <f>ROUNDUP(((Constant/WorkingV+Constant/MinV)/2)*(((products_parts[esr_dc]/1000*products_parts[Cap]))+Time)/(WorkingV-MinV)*(products_parts[[#This Row],[Cells in Series]]/products_parts[Cap]),0)</f>
        <v>2</v>
      </c>
      <c r="L71" s="79">
        <f>IF(Calculations!$J$2=1,products_parts[Cells in Parallel],products_parts[Parallel CP])</f>
        <v>21</v>
      </c>
      <c r="M71" s="75">
        <f>products_parts[[#This Row],[Cells in Series]]*products_parts[[#This Row],[Total Parallel]]</f>
        <v>63</v>
      </c>
      <c r="N71" s="76">
        <f>products_parts[[#This Row],[Price per Cell]]*products_parts[[#This Row],[Total '# of Caps]]</f>
        <v>661.5</v>
      </c>
      <c r="O71" s="77">
        <f>products_parts[[#This Row],[Calculated Volume]]*products_parts[[#This Row],[Total '# of Caps]]</f>
        <v>0.21375396415024953</v>
      </c>
      <c r="P71" s="77">
        <f>products_parts[[#This Row],[weight]]*products_parts[[#This Row],[Total '# of Caps]]</f>
        <v>0</v>
      </c>
      <c r="Q71" s="78" t="b">
        <f>AND(products_parts[[#This Row],[Height]]&gt;MIN(Calculations!$K$2,Calculations!$L$2),products_parts[[#This Row],[Height]]&lt;MAX(Calculations!$K$2,Calculations!$L$2))</f>
        <v>1</v>
      </c>
      <c r="R71" s="86">
        <f>IF(ISNUMBER(SEARCH("TPL",products_parts[[#This Row],[series]])),1,IF(products_parts[[#This Row],[series]]="PC",1,IF(ISNUMBER(SEARCH("PBL",products_parts[[#This Row],[series]])),2,2)))</f>
        <v>2</v>
      </c>
      <c r="S71" s="78" t="str">
        <f>IF(TempRange=2,IF(products_parts[[#This Row],[voltage2]]=0,"0","1"),"1")</f>
        <v>1</v>
      </c>
      <c r="T71" s="78">
        <f>IF(TempRange=1,products_parts[voltage],products_parts[voltage2])</f>
        <v>5.4</v>
      </c>
      <c r="U71" s="79" t="str">
        <f>IF(ISNUMBER(SEARCH("PBL ",products_parts[series])),"PBL",products_parts[series])</f>
        <v>PBL</v>
      </c>
      <c r="V71" s="87" t="s">
        <v>209</v>
      </c>
      <c r="W71" s="87" t="s">
        <v>68</v>
      </c>
      <c r="X71" s="68">
        <v>5.4</v>
      </c>
      <c r="Y71" s="68">
        <v>4.5999999999999996</v>
      </c>
      <c r="Z71" s="68">
        <v>4000000</v>
      </c>
      <c r="AA71" s="68">
        <v>200</v>
      </c>
      <c r="AB71" s="68">
        <v>0.19</v>
      </c>
      <c r="AC71" s="68">
        <v>12</v>
      </c>
      <c r="AD71" s="68">
        <v>30</v>
      </c>
      <c r="AE71" s="68">
        <v>22</v>
      </c>
      <c r="AF71" s="68">
        <v>0</v>
      </c>
      <c r="AG71" s="68">
        <v>0</v>
      </c>
      <c r="AH71" s="68">
        <v>15.4</v>
      </c>
      <c r="AI71" s="87" t="s">
        <v>37</v>
      </c>
      <c r="AJ71" s="87" t="s">
        <v>38</v>
      </c>
      <c r="AK71" s="68">
        <v>0</v>
      </c>
      <c r="AL71" s="68">
        <v>10.5</v>
      </c>
      <c r="AS71" s="38"/>
    </row>
    <row r="72" spans="1:45" s="37" customFormat="1" x14ac:dyDescent="0.25">
      <c r="A72" s="84">
        <f>products_parts[[#This Row],[Total Price]]+ROW()*0.0001</f>
        <v>599.25720000000001</v>
      </c>
      <c r="B72" s="75">
        <f>products_parts[[#This Row],[cap_uf]]/1000000</f>
        <v>5</v>
      </c>
      <c r="C72" s="93">
        <f>products_parts[[#This Row],[Cap]]*products_parts[Total Parallel]/products_parts[Cells in Series]</f>
        <v>28.333333333333332</v>
      </c>
      <c r="D72" s="75">
        <f>PI()*((products_parts[[#This Row],[diameter]]/2)^2)*products_parts[[#This Row],[length]]/1000000</f>
        <v>3.9584067435231391E-3</v>
      </c>
      <c r="E72" s="75">
        <f>IF(products_parts[[#This Row],[Volume (L)]]=0,products_parts[[#This Row],[Height]]*products_parts[[#This Row],[length]]*products_parts[[#This Row],[Width Total]]/1000000,products_parts[[#This Row],[Volume (L)]])</f>
        <v>3.9584067435231391E-3</v>
      </c>
      <c r="F72" s="75">
        <f>products_parts[esr_dc]*products_parts[Cells in Series]/products_parts[Total Parallel]</f>
        <v>30</v>
      </c>
      <c r="G72" s="75">
        <f>IF(products_parts[[#This Row],[height2]]=0,products_parts[[#This Row],[length]]-products_parts[[#This Row],[lead_space_s]],products_parts[[#This Row],[height2]])</f>
        <v>19.600000000000001</v>
      </c>
      <c r="H72" s="85">
        <f>IF(products_parts[[#This Row],[thickness]]=0,IF(products_parts[[#This Row],[width]]=0,products_parts[[#This Row],[diameter]],products_parts[[#This Row],[width]]),products_parts[[#This Row],[thickness]])</f>
        <v>22</v>
      </c>
      <c r="I72" s="85">
        <f>IF(products_parts[[#This Row],[voltage]]=0,1000,ROUNDUP(WorkingV/products_parts[Operating Voltage (temp)],0))</f>
        <v>3</v>
      </c>
      <c r="J72" s="75">
        <f>ROUNDUP(Constant/(WorkingV-MinV)*((products_parts[esr_dc]/1000*products_parts[[#This Row],[Cap]])+Time)*products_parts[[#This Row],[Cells in Series]]/products_parts[[#This Row],[Cap]],0)</f>
        <v>17</v>
      </c>
      <c r="K72" s="78">
        <f>ROUNDUP(((Constant/WorkingV+Constant/MinV)/2)*(((products_parts[esr_dc]/1000*products_parts[Cap]))+Time)/(WorkingV-MinV)*(products_parts[[#This Row],[Cells in Series]]/products_parts[Cap]),0)</f>
        <v>2</v>
      </c>
      <c r="L72" s="79">
        <f>IF(Calculations!$J$2=1,products_parts[Cells in Parallel],products_parts[Parallel CP])</f>
        <v>17</v>
      </c>
      <c r="M72" s="75">
        <f>products_parts[[#This Row],[Cells in Series]]*products_parts[[#This Row],[Total Parallel]]</f>
        <v>51</v>
      </c>
      <c r="N72" s="76">
        <f>products_parts[[#This Row],[Price per Cell]]*products_parts[[#This Row],[Total '# of Caps]]</f>
        <v>599.25</v>
      </c>
      <c r="O72" s="77">
        <f>products_parts[[#This Row],[Calculated Volume]]*products_parts[[#This Row],[Total '# of Caps]]</f>
        <v>0.20187874391968011</v>
      </c>
      <c r="P72" s="77">
        <f>products_parts[[#This Row],[weight]]*products_parts[[#This Row],[Total '# of Caps]]</f>
        <v>0</v>
      </c>
      <c r="Q72" s="78" t="b">
        <f>AND(products_parts[[#This Row],[Height]]&gt;MIN(Calculations!$K$2,Calculations!$L$2),products_parts[[#This Row],[Height]]&lt;MAX(Calculations!$K$2,Calculations!$L$2))</f>
        <v>1</v>
      </c>
      <c r="R72" s="86">
        <f>IF(ISNUMBER(SEARCH("TPL",products_parts[[#This Row],[series]])),1,IF(products_parts[[#This Row],[series]]="PC",1,IF(ISNUMBER(SEARCH("PBL",products_parts[[#This Row],[series]])),2,2)))</f>
        <v>2</v>
      </c>
      <c r="S72" s="78" t="str">
        <f>IF(TempRange=2,IF(products_parts[[#This Row],[voltage2]]=0,"0","1"),"1")</f>
        <v>1</v>
      </c>
      <c r="T72" s="79">
        <f>IF(TempRange=1,products_parts[voltage],products_parts[voltage2])</f>
        <v>5.4</v>
      </c>
      <c r="U72" s="79" t="str">
        <f>IF(ISNUMBER(SEARCH("PBL ",products_parts[series])),"PBL",products_parts[series])</f>
        <v>PBL</v>
      </c>
      <c r="V72" s="87" t="s">
        <v>209</v>
      </c>
      <c r="W72" s="87" t="s">
        <v>69</v>
      </c>
      <c r="X72" s="68">
        <v>5.4</v>
      </c>
      <c r="Y72" s="68">
        <v>4.5999999999999996</v>
      </c>
      <c r="Z72" s="68">
        <v>5000000</v>
      </c>
      <c r="AA72" s="68">
        <v>170</v>
      </c>
      <c r="AB72" s="68">
        <v>0.2</v>
      </c>
      <c r="AC72" s="68">
        <v>12</v>
      </c>
      <c r="AD72" s="68">
        <v>35</v>
      </c>
      <c r="AE72" s="68">
        <v>22</v>
      </c>
      <c r="AF72" s="68">
        <v>0</v>
      </c>
      <c r="AG72" s="68">
        <v>0</v>
      </c>
      <c r="AH72" s="68">
        <v>15.4</v>
      </c>
      <c r="AI72" s="87" t="s">
        <v>37</v>
      </c>
      <c r="AJ72" s="87" t="s">
        <v>38</v>
      </c>
      <c r="AK72" s="68">
        <v>0</v>
      </c>
      <c r="AL72" s="68">
        <v>11.75</v>
      </c>
      <c r="AS72" s="38"/>
    </row>
    <row r="73" spans="1:45" s="37" customFormat="1" x14ac:dyDescent="0.25">
      <c r="A73" s="84">
        <f>products_parts[[#This Row],[Total Price]]+ROW()*0.0001</f>
        <v>5658.0073000000002</v>
      </c>
      <c r="B73" s="75">
        <f>products_parts[[#This Row],[cap_uf]]/1000000</f>
        <v>0.25</v>
      </c>
      <c r="C73" s="93">
        <f>products_parts[[#This Row],[Cap]]*products_parts[Total Parallel]/products_parts[Cells in Series]</f>
        <v>27.333333333333332</v>
      </c>
      <c r="D73" s="75">
        <f>PI()*((products_parts[[#This Row],[diameter]]/2)^2)*products_parts[[#This Row],[length]]/1000000</f>
        <v>1.3351768777756623E-3</v>
      </c>
      <c r="E73" s="75">
        <f>IF(products_parts[[#This Row],[Volume (L)]]=0,products_parts[[#This Row],[Height]]*products_parts[[#This Row],[length]]*products_parts[[#This Row],[Width Total]]/1000000,products_parts[[#This Row],[Volume (L)]])</f>
        <v>1.3351768777756623E-3</v>
      </c>
      <c r="F73" s="75">
        <f>products_parts[esr_dc]*products_parts[Cells in Series]/products_parts[Total Parallel]</f>
        <v>33.475609756097562</v>
      </c>
      <c r="G73" s="75">
        <f>IF(products_parts[[#This Row],[height2]]=0,products_parts[[#This Row],[length]]-products_parts[[#This Row],[lead_space_s]],products_parts[[#This Row],[height2]])</f>
        <v>17</v>
      </c>
      <c r="H73" s="85">
        <f>IF(products_parts[[#This Row],[thickness]]=0,IF(products_parts[[#This Row],[width]]=0,products_parts[[#This Row],[diameter]],products_parts[[#This Row],[width]]),products_parts[[#This Row],[thickness]])</f>
        <v>18</v>
      </c>
      <c r="I73" s="85">
        <f>IF(products_parts[[#This Row],[voltage]]=0,1000,ROUNDUP(WorkingV/products_parts[Operating Voltage (temp)],0))</f>
        <v>3</v>
      </c>
      <c r="J73" s="75">
        <f>ROUNDUP(Constant/(WorkingV-MinV)*((products_parts[esr_dc]/1000*products_parts[[#This Row],[Cap]])+Time)*products_parts[[#This Row],[Cells in Series]]/products_parts[[#This Row],[Cap]],0)</f>
        <v>328</v>
      </c>
      <c r="K73" s="78">
        <f>ROUNDUP(((Constant/WorkingV+Constant/MinV)/2)*(((products_parts[esr_dc]/1000*products_parts[Cap]))+Time)/(WorkingV-MinV)*(products_parts[[#This Row],[Cells in Series]]/products_parts[Cap]),0)</f>
        <v>31</v>
      </c>
      <c r="L73" s="79">
        <f>IF(Calculations!$J$2=1,products_parts[Cells in Parallel],products_parts[Parallel CP])</f>
        <v>328</v>
      </c>
      <c r="M73" s="75">
        <f>products_parts[[#This Row],[Cells in Series]]*products_parts[[#This Row],[Total Parallel]]</f>
        <v>984</v>
      </c>
      <c r="N73" s="76">
        <f>products_parts[[#This Row],[Price per Cell]]*products_parts[[#This Row],[Total '# of Caps]]</f>
        <v>5658</v>
      </c>
      <c r="O73" s="77">
        <f>products_parts[[#This Row],[Calculated Volume]]*products_parts[[#This Row],[Total '# of Caps]]</f>
        <v>1.3138140477312517</v>
      </c>
      <c r="P73" s="77">
        <f>products_parts[[#This Row],[weight]]*products_parts[[#This Row],[Total '# of Caps]]</f>
        <v>0</v>
      </c>
      <c r="Q73" s="78" t="b">
        <f>AND(products_parts[[#This Row],[Height]]&gt;MIN(Calculations!$K$2,Calculations!$L$2),products_parts[[#This Row],[Height]]&lt;MAX(Calculations!$K$2,Calculations!$L$2))</f>
        <v>1</v>
      </c>
      <c r="R73" s="86">
        <f>IF(ISNUMBER(SEARCH("TPL",products_parts[[#This Row],[series]])),1,IF(products_parts[[#This Row],[series]]="PC",1,IF(ISNUMBER(SEARCH("PBL",products_parts[[#This Row],[series]])),2,2)))</f>
        <v>2</v>
      </c>
      <c r="S73" s="78" t="str">
        <f>IF(TempRange=2,IF(products_parts[[#This Row],[voltage2]]=0,"0","1"),"1")</f>
        <v>1</v>
      </c>
      <c r="T73" s="78">
        <f>IF(TempRange=1,products_parts[voltage],products_parts[voltage2])</f>
        <v>5.4</v>
      </c>
      <c r="U73" s="79" t="str">
        <f>IF(ISNUMBER(SEARCH("PBL ",products_parts[series])),"PBL",products_parts[series])</f>
        <v>PBLL</v>
      </c>
      <c r="V73" s="87" t="s">
        <v>70</v>
      </c>
      <c r="W73" s="87" t="s">
        <v>71</v>
      </c>
      <c r="X73" s="68">
        <v>5.4</v>
      </c>
      <c r="Y73" s="68">
        <v>4.5999999999999996</v>
      </c>
      <c r="Z73" s="68">
        <v>250000</v>
      </c>
      <c r="AA73" s="68">
        <v>3660</v>
      </c>
      <c r="AB73" s="68">
        <v>0.08</v>
      </c>
      <c r="AC73" s="68">
        <v>10</v>
      </c>
      <c r="AD73" s="68">
        <v>17</v>
      </c>
      <c r="AE73" s="68">
        <v>18</v>
      </c>
      <c r="AF73" s="68">
        <v>0</v>
      </c>
      <c r="AG73" s="68">
        <v>0</v>
      </c>
      <c r="AH73" s="68">
        <v>0</v>
      </c>
      <c r="AI73" s="87" t="s">
        <v>37</v>
      </c>
      <c r="AJ73" s="87" t="s">
        <v>38</v>
      </c>
      <c r="AK73" s="68">
        <v>0</v>
      </c>
      <c r="AL73" s="68">
        <v>5.75</v>
      </c>
      <c r="AS73" s="38"/>
    </row>
    <row r="74" spans="1:45" s="37" customFormat="1" x14ac:dyDescent="0.25">
      <c r="A74" s="84">
        <f>products_parts[[#This Row],[Total Price]]+ROW()*0.0001</f>
        <v>2777.2574</v>
      </c>
      <c r="B74" s="75">
        <f>products_parts[[#This Row],[cap_uf]]/1000000</f>
        <v>0.5</v>
      </c>
      <c r="C74" s="93">
        <f>products_parts[[#This Row],[Cap]]*products_parts[Total Parallel]/products_parts[Cells in Series]</f>
        <v>26.833333333333332</v>
      </c>
      <c r="D74" s="75">
        <f>PI()*((products_parts[[#This Row],[diameter]]/2)^2)*products_parts[[#This Row],[length]]/1000000</f>
        <v>1.3351768777756623E-3</v>
      </c>
      <c r="E74" s="75">
        <f>IF(products_parts[[#This Row],[Volume (L)]]=0,products_parts[[#This Row],[Height]]*products_parts[[#This Row],[length]]*products_parts[[#This Row],[Width Total]]/1000000,products_parts[[#This Row],[Volume (L)]])</f>
        <v>1.3351768777756623E-3</v>
      </c>
      <c r="F74" s="75">
        <f>products_parts[esr_dc]*products_parts[Cells in Series]/products_parts[Total Parallel]</f>
        <v>27.204968944099377</v>
      </c>
      <c r="G74" s="75">
        <f>IF(products_parts[[#This Row],[height2]]=0,products_parts[[#This Row],[length]]-products_parts[[#This Row],[lead_space_s]],products_parts[[#This Row],[height2]])</f>
        <v>17</v>
      </c>
      <c r="H74" s="85">
        <f>IF(products_parts[[#This Row],[thickness]]=0,IF(products_parts[[#This Row],[width]]=0,products_parts[[#This Row],[diameter]],products_parts[[#This Row],[width]]),products_parts[[#This Row],[thickness]])</f>
        <v>18</v>
      </c>
      <c r="I74" s="85">
        <f>IF(products_parts[[#This Row],[voltage]]=0,1000,ROUNDUP(WorkingV/products_parts[Operating Voltage (temp)],0))</f>
        <v>3</v>
      </c>
      <c r="J74" s="75">
        <f>ROUNDUP(Constant/(WorkingV-MinV)*((products_parts[esr_dc]/1000*products_parts[[#This Row],[Cap]])+Time)*products_parts[[#This Row],[Cells in Series]]/products_parts[[#This Row],[Cap]],0)</f>
        <v>161</v>
      </c>
      <c r="K74" s="78">
        <f>ROUNDUP(((Constant/WorkingV+Constant/MinV)/2)*(((products_parts[esr_dc]/1000*products_parts[Cap]))+Time)/(WorkingV-MinV)*(products_parts[[#This Row],[Cells in Series]]/products_parts[Cap]),0)</f>
        <v>15</v>
      </c>
      <c r="L74" s="79">
        <f>IF(Calculations!$J$2=1,products_parts[Cells in Parallel],products_parts[Parallel CP])</f>
        <v>161</v>
      </c>
      <c r="M74" s="75">
        <f>products_parts[[#This Row],[Cells in Series]]*products_parts[[#This Row],[Total Parallel]]</f>
        <v>483</v>
      </c>
      <c r="N74" s="76">
        <f>products_parts[[#This Row],[Price per Cell]]*products_parts[[#This Row],[Total '# of Caps]]</f>
        <v>2777.25</v>
      </c>
      <c r="O74" s="77">
        <f>products_parts[[#This Row],[Calculated Volume]]*products_parts[[#This Row],[Total '# of Caps]]</f>
        <v>0.64489043196564488</v>
      </c>
      <c r="P74" s="77">
        <f>products_parts[[#This Row],[weight]]*products_parts[[#This Row],[Total '# of Caps]]</f>
        <v>0</v>
      </c>
      <c r="Q74" s="78" t="b">
        <f>AND(products_parts[[#This Row],[Height]]&gt;MIN(Calculations!$K$2,Calculations!$L$2),products_parts[[#This Row],[Height]]&lt;MAX(Calculations!$K$2,Calculations!$L$2))</f>
        <v>1</v>
      </c>
      <c r="R74" s="86">
        <f>IF(ISNUMBER(SEARCH("TPL",products_parts[[#This Row],[series]])),1,IF(products_parts[[#This Row],[series]]="PC",1,IF(ISNUMBER(SEARCH("PBL",products_parts[[#This Row],[series]])),2,2)))</f>
        <v>2</v>
      </c>
      <c r="S74" s="78" t="str">
        <f>IF(TempRange=2,IF(products_parts[[#This Row],[voltage2]]=0,"0","1"),"1")</f>
        <v>1</v>
      </c>
      <c r="T74" s="79">
        <f>IF(TempRange=1,products_parts[voltage],products_parts[voltage2])</f>
        <v>5.4</v>
      </c>
      <c r="U74" s="79" t="str">
        <f>IF(ISNUMBER(SEARCH("PBL ",products_parts[series])),"PBL",products_parts[series])</f>
        <v>PBLL</v>
      </c>
      <c r="V74" s="87" t="s">
        <v>70</v>
      </c>
      <c r="W74" s="87" t="s">
        <v>72</v>
      </c>
      <c r="X74" s="68">
        <v>5.4</v>
      </c>
      <c r="Y74" s="68">
        <v>4.5999999999999996</v>
      </c>
      <c r="Z74" s="68">
        <v>500000</v>
      </c>
      <c r="AA74" s="68">
        <v>1460</v>
      </c>
      <c r="AB74" s="68">
        <v>0.08</v>
      </c>
      <c r="AC74" s="68">
        <v>10</v>
      </c>
      <c r="AD74" s="68">
        <v>17</v>
      </c>
      <c r="AE74" s="68">
        <v>18</v>
      </c>
      <c r="AF74" s="68">
        <v>0</v>
      </c>
      <c r="AG74" s="68">
        <v>0</v>
      </c>
      <c r="AH74" s="68">
        <v>0</v>
      </c>
      <c r="AI74" s="87" t="s">
        <v>37</v>
      </c>
      <c r="AJ74" s="87" t="s">
        <v>38</v>
      </c>
      <c r="AK74" s="68">
        <v>0</v>
      </c>
      <c r="AL74" s="68">
        <v>5.75</v>
      </c>
      <c r="AS74" s="38"/>
    </row>
    <row r="75" spans="1:45" s="37" customFormat="1" x14ac:dyDescent="0.25">
      <c r="A75" s="84">
        <f>products_parts[[#This Row],[Total Price]]+ROW()*0.0001</f>
        <v>2247.0075000000002</v>
      </c>
      <c r="B75" s="75">
        <f>products_parts[[#This Row],[cap_uf]]/1000000</f>
        <v>0.75</v>
      </c>
      <c r="C75" s="93">
        <f>products_parts[[#This Row],[Cap]]*products_parts[Total Parallel]/products_parts[Cells in Series]</f>
        <v>26.75</v>
      </c>
      <c r="D75" s="75">
        <f>PI()*((products_parts[[#This Row],[diameter]]/2)^2)*products_parts[[#This Row],[length]]/1000000</f>
        <v>1.4922565104551519E-3</v>
      </c>
      <c r="E75" s="75">
        <f>IF(products_parts[[#This Row],[Volume (L)]]=0,products_parts[[#This Row],[Height]]*products_parts[[#This Row],[length]]*products_parts[[#This Row],[Width Total]]/1000000,products_parts[[#This Row],[Volume (L)]])</f>
        <v>1.4922565104551519E-3</v>
      </c>
      <c r="F75" s="75">
        <f>products_parts[esr_dc]*products_parts[Cells in Series]/products_parts[Total Parallel]</f>
        <v>24.672897196261683</v>
      </c>
      <c r="G75" s="75">
        <f>IF(products_parts[[#This Row],[height2]]=0,products_parts[[#This Row],[length]]-products_parts[[#This Row],[lead_space_s]],products_parts[[#This Row],[height2]])</f>
        <v>19</v>
      </c>
      <c r="H75" s="85">
        <f>IF(products_parts[[#This Row],[thickness]]=0,IF(products_parts[[#This Row],[width]]=0,products_parts[[#This Row],[diameter]],products_parts[[#This Row],[width]]),products_parts[[#This Row],[thickness]])</f>
        <v>18</v>
      </c>
      <c r="I75" s="85">
        <f>IF(products_parts[[#This Row],[voltage]]=0,1000,ROUNDUP(WorkingV/products_parts[Operating Voltage (temp)],0))</f>
        <v>3</v>
      </c>
      <c r="J75" s="75">
        <f>ROUNDUP(Constant/(WorkingV-MinV)*((products_parts[esr_dc]/1000*products_parts[[#This Row],[Cap]])+Time)*products_parts[[#This Row],[Cells in Series]]/products_parts[[#This Row],[Cap]],0)</f>
        <v>107</v>
      </c>
      <c r="K75" s="78">
        <f>ROUNDUP(((Constant/WorkingV+Constant/MinV)/2)*(((products_parts[esr_dc]/1000*products_parts[Cap]))+Time)/(WorkingV-MinV)*(products_parts[[#This Row],[Cells in Series]]/products_parts[Cap]),0)</f>
        <v>10</v>
      </c>
      <c r="L75" s="79">
        <f>IF(Calculations!$J$2=1,products_parts[Cells in Parallel],products_parts[Parallel CP])</f>
        <v>107</v>
      </c>
      <c r="M75" s="75">
        <f>products_parts[[#This Row],[Cells in Series]]*products_parts[[#This Row],[Total Parallel]]</f>
        <v>321</v>
      </c>
      <c r="N75" s="76">
        <f>products_parts[[#This Row],[Price per Cell]]*products_parts[[#This Row],[Total '# of Caps]]</f>
        <v>2247</v>
      </c>
      <c r="O75" s="77">
        <f>products_parts[[#This Row],[Calculated Volume]]*products_parts[[#This Row],[Total '# of Caps]]</f>
        <v>0.47901433985610375</v>
      </c>
      <c r="P75" s="77">
        <f>products_parts[[#This Row],[weight]]*products_parts[[#This Row],[Total '# of Caps]]</f>
        <v>0</v>
      </c>
      <c r="Q75" s="78" t="b">
        <f>AND(products_parts[[#This Row],[Height]]&gt;MIN(Calculations!$K$2,Calculations!$L$2),products_parts[[#This Row],[Height]]&lt;MAX(Calculations!$K$2,Calculations!$L$2))</f>
        <v>1</v>
      </c>
      <c r="R75" s="86">
        <f>IF(ISNUMBER(SEARCH("TPL",products_parts[[#This Row],[series]])),1,IF(products_parts[[#This Row],[series]]="PC",1,IF(ISNUMBER(SEARCH("PBL",products_parts[[#This Row],[series]])),2,2)))</f>
        <v>2</v>
      </c>
      <c r="S75" s="78" t="str">
        <f>IF(TempRange=2,IF(products_parts[[#This Row],[voltage2]]=0,"0","1"),"1")</f>
        <v>1</v>
      </c>
      <c r="T75" s="78">
        <f>IF(TempRange=1,products_parts[voltage],products_parts[voltage2])</f>
        <v>5.4</v>
      </c>
      <c r="U75" s="79" t="str">
        <f>IF(ISNUMBER(SEARCH("PBL ",products_parts[series])),"PBL",products_parts[series])</f>
        <v>PBLL</v>
      </c>
      <c r="V75" s="87" t="s">
        <v>70</v>
      </c>
      <c r="W75" s="87" t="s">
        <v>73</v>
      </c>
      <c r="X75" s="68">
        <v>5.4</v>
      </c>
      <c r="Y75" s="68">
        <v>4.5999999999999996</v>
      </c>
      <c r="Z75" s="68">
        <v>750000</v>
      </c>
      <c r="AA75" s="68">
        <v>880</v>
      </c>
      <c r="AB75" s="68">
        <v>0.08</v>
      </c>
      <c r="AC75" s="68">
        <v>10</v>
      </c>
      <c r="AD75" s="68">
        <v>19</v>
      </c>
      <c r="AE75" s="68">
        <v>18</v>
      </c>
      <c r="AF75" s="68">
        <v>0</v>
      </c>
      <c r="AG75" s="68">
        <v>0</v>
      </c>
      <c r="AH75" s="68">
        <v>0</v>
      </c>
      <c r="AI75" s="87" t="s">
        <v>37</v>
      </c>
      <c r="AJ75" s="87" t="s">
        <v>38</v>
      </c>
      <c r="AK75" s="68">
        <v>0</v>
      </c>
      <c r="AL75" s="68">
        <v>7</v>
      </c>
      <c r="AS75" s="38"/>
    </row>
    <row r="76" spans="1:45" s="37" customFormat="1" x14ac:dyDescent="0.25">
      <c r="A76" s="84">
        <f>products_parts[[#This Row],[Total Price]]+ROW()*0.0001</f>
        <v>1883.2575999999999</v>
      </c>
      <c r="B76" s="75">
        <f>products_parts[[#This Row],[cap_uf]]/1000000</f>
        <v>1</v>
      </c>
      <c r="C76" s="93">
        <f>products_parts[[#This Row],[Cap]]*products_parts[Total Parallel]/products_parts[Cells in Series]</f>
        <v>27</v>
      </c>
      <c r="D76" s="75">
        <f>PI()*((products_parts[[#This Row],[diameter]]/2)^2)*products_parts[[#This Row],[length]]/1000000</f>
        <v>1.6493361431346415E-3</v>
      </c>
      <c r="E76" s="75">
        <f>IF(products_parts[[#This Row],[Volume (L)]]=0,products_parts[[#This Row],[Height]]*products_parts[[#This Row],[length]]*products_parts[[#This Row],[Width Total]]/1000000,products_parts[[#This Row],[Volume (L)]])</f>
        <v>1.6493361431346415E-3</v>
      </c>
      <c r="F76" s="75">
        <f>products_parts[esr_dc]*products_parts[Cells in Series]/products_parts[Total Parallel]</f>
        <v>28.148148148148149</v>
      </c>
      <c r="G76" s="75">
        <f>IF(products_parts[[#This Row],[height2]]=0,products_parts[[#This Row],[length]]-products_parts[[#This Row],[lead_space_s]],products_parts[[#This Row],[height2]])</f>
        <v>21</v>
      </c>
      <c r="H76" s="85">
        <f>IF(products_parts[[#This Row],[thickness]]=0,IF(products_parts[[#This Row],[width]]=0,products_parts[[#This Row],[diameter]],products_parts[[#This Row],[width]]),products_parts[[#This Row],[thickness]])</f>
        <v>18</v>
      </c>
      <c r="I76" s="85">
        <f>IF(products_parts[[#This Row],[voltage]]=0,1000,ROUNDUP(WorkingV/products_parts[Operating Voltage (temp)],0))</f>
        <v>3</v>
      </c>
      <c r="J76" s="75">
        <f>ROUNDUP(Constant/(WorkingV-MinV)*((products_parts[esr_dc]/1000*products_parts[[#This Row],[Cap]])+Time)*products_parts[[#This Row],[Cells in Series]]/products_parts[[#This Row],[Cap]],0)</f>
        <v>81</v>
      </c>
      <c r="K76" s="78">
        <f>ROUNDUP(((Constant/WorkingV+Constant/MinV)/2)*(((products_parts[esr_dc]/1000*products_parts[Cap]))+Time)/(WorkingV-MinV)*(products_parts[[#This Row],[Cells in Series]]/products_parts[Cap]),0)</f>
        <v>8</v>
      </c>
      <c r="L76" s="79">
        <f>IF(Calculations!$J$2=1,products_parts[Cells in Parallel],products_parts[Parallel CP])</f>
        <v>81</v>
      </c>
      <c r="M76" s="75">
        <f>products_parts[[#This Row],[Cells in Series]]*products_parts[[#This Row],[Total Parallel]]</f>
        <v>243</v>
      </c>
      <c r="N76" s="76">
        <f>products_parts[[#This Row],[Price per Cell]]*products_parts[[#This Row],[Total '# of Caps]]</f>
        <v>1883.25</v>
      </c>
      <c r="O76" s="77">
        <f>products_parts[[#This Row],[Calculated Volume]]*products_parts[[#This Row],[Total '# of Caps]]</f>
        <v>0.40078868278171786</v>
      </c>
      <c r="P76" s="77">
        <f>products_parts[[#This Row],[weight]]*products_parts[[#This Row],[Total '# of Caps]]</f>
        <v>0</v>
      </c>
      <c r="Q76" s="78" t="b">
        <f>AND(products_parts[[#This Row],[Height]]&gt;MIN(Calculations!$K$2,Calculations!$L$2),products_parts[[#This Row],[Height]]&lt;MAX(Calculations!$K$2,Calculations!$L$2))</f>
        <v>1</v>
      </c>
      <c r="R76" s="86">
        <f>IF(ISNUMBER(SEARCH("TPL",products_parts[[#This Row],[series]])),1,IF(products_parts[[#This Row],[series]]="PC",1,IF(ISNUMBER(SEARCH("PBL",products_parts[[#This Row],[series]])),2,2)))</f>
        <v>2</v>
      </c>
      <c r="S76" s="78" t="str">
        <f>IF(TempRange=2,IF(products_parts[[#This Row],[voltage2]]=0,"0","1"),"1")</f>
        <v>1</v>
      </c>
      <c r="T76" s="79">
        <f>IF(TempRange=1,products_parts[voltage],products_parts[voltage2])</f>
        <v>5.4</v>
      </c>
      <c r="U76" s="79" t="str">
        <f>IF(ISNUMBER(SEARCH("PBL ",products_parts[series])),"PBL",products_parts[series])</f>
        <v>PBLL</v>
      </c>
      <c r="V76" s="87" t="s">
        <v>70</v>
      </c>
      <c r="W76" s="87" t="s">
        <v>74</v>
      </c>
      <c r="X76" s="68">
        <v>5.4</v>
      </c>
      <c r="Y76" s="68">
        <v>4.5999999999999996</v>
      </c>
      <c r="Z76" s="68">
        <v>1000000</v>
      </c>
      <c r="AA76" s="68">
        <v>760</v>
      </c>
      <c r="AB76" s="68">
        <v>0.09</v>
      </c>
      <c r="AC76" s="68">
        <v>10</v>
      </c>
      <c r="AD76" s="68">
        <v>21</v>
      </c>
      <c r="AE76" s="68">
        <v>18</v>
      </c>
      <c r="AF76" s="68">
        <v>0</v>
      </c>
      <c r="AG76" s="68">
        <v>0</v>
      </c>
      <c r="AH76" s="68">
        <v>0</v>
      </c>
      <c r="AI76" s="87" t="s">
        <v>37</v>
      </c>
      <c r="AJ76" s="87" t="s">
        <v>38</v>
      </c>
      <c r="AK76" s="68">
        <v>0</v>
      </c>
      <c r="AL76" s="68">
        <v>7.75</v>
      </c>
      <c r="AS76" s="38"/>
    </row>
    <row r="77" spans="1:45" s="37" customFormat="1" x14ac:dyDescent="0.25">
      <c r="A77" s="84">
        <f>products_parts[[#This Row],[Total Price]]+ROW()*0.0001</f>
        <v>1300.5077000000001</v>
      </c>
      <c r="B77" s="75">
        <f>products_parts[[#This Row],[cap_uf]]/1000000</f>
        <v>1.65</v>
      </c>
      <c r="C77" s="93">
        <f>products_parts[[#This Row],[Cap]]*products_parts[Total Parallel]/products_parts[Cells in Series]</f>
        <v>28.049999999999997</v>
      </c>
      <c r="D77" s="75">
        <f>PI()*((products_parts[[#This Row],[diameter]]/2)^2)*products_parts[[#This Row],[length]]/1000000</f>
        <v>2.8274333882308137E-3</v>
      </c>
      <c r="E77" s="75">
        <f>IF(products_parts[[#This Row],[Volume (L)]]=0,products_parts[[#This Row],[Height]]*products_parts[[#This Row],[length]]*products_parts[[#This Row],[Width Total]]/1000000,products_parts[[#This Row],[Volume (L)]])</f>
        <v>2.8274333882308137E-3</v>
      </c>
      <c r="F77" s="75">
        <f>products_parts[esr_dc]*products_parts[Cells in Series]/products_parts[Total Parallel]</f>
        <v>37.941176470588232</v>
      </c>
      <c r="G77" s="75">
        <f>IF(products_parts[[#This Row],[height2]]=0,products_parts[[#This Row],[length]]-products_parts[[#This Row],[lead_space_s]],products_parts[[#This Row],[height2]])</f>
        <v>25</v>
      </c>
      <c r="H77" s="85">
        <f>IF(products_parts[[#This Row],[thickness]]=0,IF(products_parts[[#This Row],[width]]=0,products_parts[[#This Row],[diameter]],products_parts[[#This Row],[width]]),products_parts[[#This Row],[thickness]])</f>
        <v>22</v>
      </c>
      <c r="I77" s="85">
        <f>IF(products_parts[[#This Row],[voltage]]=0,1000,ROUNDUP(WorkingV/products_parts[Operating Voltage (temp)],0))</f>
        <v>3</v>
      </c>
      <c r="J77" s="75">
        <f>ROUNDUP(Constant/(WorkingV-MinV)*((products_parts[esr_dc]/1000*products_parts[[#This Row],[Cap]])+Time)*products_parts[[#This Row],[Cells in Series]]/products_parts[[#This Row],[Cap]],0)</f>
        <v>51</v>
      </c>
      <c r="K77" s="79">
        <f>ROUNDUP(((Constant/WorkingV+Constant/MinV)/2)*(((products_parts[esr_dc]/1000*products_parts[Cap]))+Time)/(WorkingV-MinV)*(products_parts[[#This Row],[Cells in Series]]/products_parts[Cap]),0)</f>
        <v>5</v>
      </c>
      <c r="L77" s="79">
        <f>IF(Calculations!$J$2=1,products_parts[Cells in Parallel],products_parts[Parallel CP])</f>
        <v>51</v>
      </c>
      <c r="M77" s="75">
        <f>products_parts[[#This Row],[Cells in Series]]*products_parts[[#This Row],[Total Parallel]]</f>
        <v>153</v>
      </c>
      <c r="N77" s="76">
        <f>products_parts[[#This Row],[Price per Cell]]*products_parts[[#This Row],[Total '# of Caps]]</f>
        <v>1300.5</v>
      </c>
      <c r="O77" s="77">
        <f>products_parts[[#This Row],[Calculated Volume]]*products_parts[[#This Row],[Total '# of Caps]]</f>
        <v>0.43259730839931448</v>
      </c>
      <c r="P77" s="77">
        <f>products_parts[[#This Row],[weight]]*products_parts[[#This Row],[Total '# of Caps]]</f>
        <v>0</v>
      </c>
      <c r="Q77" s="78" t="b">
        <f>AND(products_parts[[#This Row],[Height]]&gt;MIN(Calculations!$K$2,Calculations!$L$2),products_parts[[#This Row],[Height]]&lt;MAX(Calculations!$K$2,Calculations!$L$2))</f>
        <v>1</v>
      </c>
      <c r="R77" s="86">
        <f>IF(ISNUMBER(SEARCH("TPL",products_parts[[#This Row],[series]])),1,IF(products_parts[[#This Row],[series]]="PC",1,IF(ISNUMBER(SEARCH("PBL",products_parts[[#This Row],[series]])),2,2)))</f>
        <v>2</v>
      </c>
      <c r="S77" s="78" t="str">
        <f>IF(TempRange=2,IF(products_parts[[#This Row],[voltage2]]=0,"0","1"),"1")</f>
        <v>1</v>
      </c>
      <c r="T77" s="78">
        <f>IF(TempRange=1,products_parts[voltage],products_parts[voltage2])</f>
        <v>5.4</v>
      </c>
      <c r="U77" s="79" t="str">
        <f>IF(ISNUMBER(SEARCH("PBL ",products_parts[series])),"PBL",products_parts[series])</f>
        <v>PBLL</v>
      </c>
      <c r="V77" s="87" t="s">
        <v>70</v>
      </c>
      <c r="W77" s="87" t="s">
        <v>75</v>
      </c>
      <c r="X77" s="68">
        <v>5.4</v>
      </c>
      <c r="Y77" s="68">
        <v>4.5999999999999996</v>
      </c>
      <c r="Z77" s="68">
        <v>1650000</v>
      </c>
      <c r="AA77" s="68">
        <v>645</v>
      </c>
      <c r="AB77" s="68">
        <v>0.18</v>
      </c>
      <c r="AC77" s="68">
        <v>12</v>
      </c>
      <c r="AD77" s="68">
        <v>25</v>
      </c>
      <c r="AE77" s="68">
        <v>22</v>
      </c>
      <c r="AF77" s="68">
        <v>0</v>
      </c>
      <c r="AG77" s="68">
        <v>0</v>
      </c>
      <c r="AH77" s="68">
        <v>0</v>
      </c>
      <c r="AI77" s="87" t="s">
        <v>37</v>
      </c>
      <c r="AJ77" s="87" t="s">
        <v>38</v>
      </c>
      <c r="AK77" s="68">
        <v>0</v>
      </c>
      <c r="AL77" s="68">
        <v>8.5</v>
      </c>
      <c r="AS77" s="38"/>
    </row>
    <row r="78" spans="1:45" s="37" customFormat="1" x14ac:dyDescent="0.25">
      <c r="A78" s="84">
        <f>products_parts[[#This Row],[Total Price]]+ROW()*0.0001</f>
        <v>432.00779999999997</v>
      </c>
      <c r="B78" s="75">
        <f>products_parts[[#This Row],[cap_uf]]/1000000</f>
        <v>11</v>
      </c>
      <c r="C78" s="93">
        <f>products_parts[[#This Row],[Cap]]*products_parts[Total Parallel]/products_parts[Cells in Series]</f>
        <v>33</v>
      </c>
      <c r="D78" s="75">
        <f>PI()*((products_parts[[#This Row],[diameter]]/2)^2)*products_parts[[#This Row],[length]]/1000000</f>
        <v>5.5108443882486199E-3</v>
      </c>
      <c r="E78" s="75">
        <f>IF(products_parts[[#This Row],[Volume (L)]]=0,products_parts[[#This Row],[Height]]*products_parts[[#This Row],[length]]*products_parts[[#This Row],[Width Total]]/1000000,products_parts[[#This Row],[Volume (L)]])</f>
        <v>5.5108443882486199E-3</v>
      </c>
      <c r="F78" s="75">
        <f>products_parts[esr_dc]*products_parts[Cells in Series]/products_parts[Total Parallel]</f>
        <v>53.333333333333336</v>
      </c>
      <c r="G78" s="75">
        <f>IF(products_parts[[#This Row],[height2]]=0,products_parts[[#This Row],[length]]-products_parts[[#This Row],[lead_space_s]],products_parts[[#This Row],[height2]])</f>
        <v>38.5</v>
      </c>
      <c r="H78" s="85">
        <f>IF(products_parts[[#This Row],[thickness]]=0,IF(products_parts[[#This Row],[width]]=0,products_parts[[#This Row],[diameter]],products_parts[[#This Row],[width]]),products_parts[[#This Row],[thickness]])</f>
        <v>26</v>
      </c>
      <c r="I78" s="85">
        <f>IF(products_parts[[#This Row],[voltage]]=0,1000,ROUNDUP(WorkingV/products_parts[Operating Voltage (temp)],0))</f>
        <v>3</v>
      </c>
      <c r="J78" s="75">
        <f>ROUNDUP(Constant/(WorkingV-MinV)*((products_parts[esr_dc]/1000*products_parts[[#This Row],[Cap]])+Time)*products_parts[[#This Row],[Cells in Series]]/products_parts[[#This Row],[Cap]],0)</f>
        <v>9</v>
      </c>
      <c r="K78" s="78">
        <f>ROUNDUP(((Constant/WorkingV+Constant/MinV)/2)*(((products_parts[esr_dc]/1000*products_parts[Cap]))+Time)/(WorkingV-MinV)*(products_parts[[#This Row],[Cells in Series]]/products_parts[Cap]),0)</f>
        <v>1</v>
      </c>
      <c r="L78" s="79">
        <f>IF(Calculations!$J$2=1,products_parts[Cells in Parallel],products_parts[Parallel CP])</f>
        <v>9</v>
      </c>
      <c r="M78" s="75">
        <f>products_parts[[#This Row],[Cells in Series]]*products_parts[[#This Row],[Total Parallel]]</f>
        <v>27</v>
      </c>
      <c r="N78" s="76">
        <f>products_parts[[#This Row],[Price per Cell]]*products_parts[[#This Row],[Total '# of Caps]]</f>
        <v>432</v>
      </c>
      <c r="O78" s="77">
        <f>products_parts[[#This Row],[Calculated Volume]]*products_parts[[#This Row],[Total '# of Caps]]</f>
        <v>0.14879279848271273</v>
      </c>
      <c r="P78" s="77">
        <f>products_parts[[#This Row],[weight]]*products_parts[[#This Row],[Total '# of Caps]]</f>
        <v>0</v>
      </c>
      <c r="Q78" s="78" t="b">
        <f>AND(products_parts[[#This Row],[Height]]&gt;MIN(Calculations!$K$2,Calculations!$L$2),products_parts[[#This Row],[Height]]&lt;MAX(Calculations!$K$2,Calculations!$L$2))</f>
        <v>1</v>
      </c>
      <c r="R78" s="86">
        <f>IF(ISNUMBER(SEARCH("TPL",products_parts[[#This Row],[series]])),1,IF(products_parts[[#This Row],[series]]="PC",1,IF(ISNUMBER(SEARCH("PBL",products_parts[[#This Row],[series]])),2,2)))</f>
        <v>2</v>
      </c>
      <c r="S78" s="78" t="str">
        <f>IF(TempRange=2,IF(products_parts[[#This Row],[voltage2]]=0,"0","1"),"1")</f>
        <v>1</v>
      </c>
      <c r="T78" s="78">
        <f>IF(TempRange=1,products_parts[voltage],products_parts[voltage2])</f>
        <v>5.4</v>
      </c>
      <c r="U78" s="79" t="str">
        <f>IF(ISNUMBER(SEARCH("PBL ",products_parts[series])),"PBL",products_parts[series])</f>
        <v>PBLL</v>
      </c>
      <c r="V78" s="87" t="s">
        <v>70</v>
      </c>
      <c r="W78" s="87" t="s">
        <v>76</v>
      </c>
      <c r="X78" s="68">
        <v>5.4</v>
      </c>
      <c r="Y78" s="68">
        <v>4.5999999999999996</v>
      </c>
      <c r="Z78" s="68">
        <v>11000000</v>
      </c>
      <c r="AA78" s="68">
        <v>160</v>
      </c>
      <c r="AB78" s="68">
        <v>0.57999999999999996</v>
      </c>
      <c r="AC78" s="68">
        <v>13.5</v>
      </c>
      <c r="AD78" s="68">
        <v>38.5</v>
      </c>
      <c r="AE78" s="68">
        <v>26</v>
      </c>
      <c r="AF78" s="68">
        <v>0</v>
      </c>
      <c r="AG78" s="68">
        <v>0</v>
      </c>
      <c r="AH78" s="68">
        <v>0</v>
      </c>
      <c r="AI78" s="87" t="s">
        <v>37</v>
      </c>
      <c r="AJ78" s="87" t="s">
        <v>38</v>
      </c>
      <c r="AK78" s="68">
        <v>0</v>
      </c>
      <c r="AL78" s="68">
        <v>16</v>
      </c>
      <c r="AS78" s="38"/>
    </row>
    <row r="79" spans="1:45" s="37" customFormat="1" x14ac:dyDescent="0.25">
      <c r="A79" s="84">
        <f>products_parts[[#This Row],[Total Price]]+ROW()*0.0001</f>
        <v>420.00790000000001</v>
      </c>
      <c r="B79" s="75">
        <f>products_parts[[#This Row],[cap_uf]]/1000000</f>
        <v>15</v>
      </c>
      <c r="C79" s="93">
        <f>products_parts[[#This Row],[Cap]]*products_parts[Total Parallel]/products_parts[Cells in Series]</f>
        <v>35</v>
      </c>
      <c r="D79" s="75">
        <f>PI()*((products_parts[[#This Row],[diameter]]/2)^2)*products_parts[[#This Row],[length]]/1000000</f>
        <v>8.2982224701461643E-3</v>
      </c>
      <c r="E79" s="75">
        <f>IF(products_parts[[#This Row],[Volume (L)]]=0,products_parts[[#This Row],[Height]]*products_parts[[#This Row],[length]]*products_parts[[#This Row],[Width Total]]/1000000,products_parts[[#This Row],[Volume (L)]])</f>
        <v>8.2982224701461643E-3</v>
      </c>
      <c r="F79" s="75">
        <f>products_parts[esr_dc]*products_parts[Cells in Series]/products_parts[Total Parallel]</f>
        <v>57.857142857142854</v>
      </c>
      <c r="G79" s="75">
        <f>IF(products_parts[[#This Row],[height2]]=0,products_parts[[#This Row],[length]]-products_parts[[#This Row],[lead_space_s]],products_parts[[#This Row],[height2]])</f>
        <v>34.5</v>
      </c>
      <c r="H79" s="85">
        <f>IF(products_parts[[#This Row],[thickness]]=0,IF(products_parts[[#This Row],[width]]=0,products_parts[[#This Row],[diameter]],products_parts[[#This Row],[width]]),products_parts[[#This Row],[thickness]])</f>
        <v>34</v>
      </c>
      <c r="I79" s="85">
        <f>IF(products_parts[[#This Row],[voltage]]=0,1000,ROUNDUP(WorkingV/products_parts[Operating Voltage (temp)],0))</f>
        <v>3</v>
      </c>
      <c r="J79" s="75">
        <f>ROUNDUP(Constant/(WorkingV-MinV)*((products_parts[esr_dc]/1000*products_parts[[#This Row],[Cap]])+Time)*products_parts[[#This Row],[Cells in Series]]/products_parts[[#This Row],[Cap]],0)</f>
        <v>7</v>
      </c>
      <c r="K79" s="79">
        <f>ROUNDUP(((Constant/WorkingV+Constant/MinV)/2)*(((products_parts[esr_dc]/1000*products_parts[Cap]))+Time)/(WorkingV-MinV)*(products_parts[[#This Row],[Cells in Series]]/products_parts[Cap]),0)</f>
        <v>1</v>
      </c>
      <c r="L79" s="79">
        <f>IF(Calculations!$J$2=1,products_parts[Cells in Parallel],products_parts[Parallel CP])</f>
        <v>7</v>
      </c>
      <c r="M79" s="75">
        <f>products_parts[[#This Row],[Cells in Series]]*products_parts[[#This Row],[Total Parallel]]</f>
        <v>21</v>
      </c>
      <c r="N79" s="76">
        <f>products_parts[[#This Row],[Price per Cell]]*products_parts[[#This Row],[Total '# of Caps]]</f>
        <v>420</v>
      </c>
      <c r="O79" s="77">
        <f>products_parts[[#This Row],[Calculated Volume]]*products_parts[[#This Row],[Total '# of Caps]]</f>
        <v>0.17426267187306946</v>
      </c>
      <c r="P79" s="77">
        <f>products_parts[[#This Row],[weight]]*products_parts[[#This Row],[Total '# of Caps]]</f>
        <v>0</v>
      </c>
      <c r="Q79" s="78" t="b">
        <f>AND(products_parts[[#This Row],[Height]]&gt;MIN(Calculations!$K$2,Calculations!$L$2),products_parts[[#This Row],[Height]]&lt;MAX(Calculations!$K$2,Calculations!$L$2))</f>
        <v>1</v>
      </c>
      <c r="R79" s="86">
        <f>IF(ISNUMBER(SEARCH("TPL",products_parts[[#This Row],[series]])),1,IF(products_parts[[#This Row],[series]]="PC",1,IF(ISNUMBER(SEARCH("PBL",products_parts[[#This Row],[series]])),2,2)))</f>
        <v>2</v>
      </c>
      <c r="S79" s="86" t="str">
        <f>IF(TempRange=2,IF(products_parts[[#This Row],[voltage2]]=0,"0","1"),"1")</f>
        <v>1</v>
      </c>
      <c r="T79" s="78">
        <f>IF(TempRange=1,products_parts[voltage],products_parts[voltage2])</f>
        <v>5.4</v>
      </c>
      <c r="U79" s="79" t="str">
        <f>IF(ISNUMBER(SEARCH("PBL ",products_parts[series])),"PBL",products_parts[series])</f>
        <v>PBLL</v>
      </c>
      <c r="V79" s="87" t="s">
        <v>70</v>
      </c>
      <c r="W79" s="87" t="s">
        <v>77</v>
      </c>
      <c r="X79" s="68">
        <v>5.4</v>
      </c>
      <c r="Y79" s="68">
        <v>4.5999999999999996</v>
      </c>
      <c r="Z79" s="68">
        <v>15000000</v>
      </c>
      <c r="AA79" s="68">
        <v>135</v>
      </c>
      <c r="AB79" s="68">
        <v>0.62</v>
      </c>
      <c r="AC79" s="68">
        <v>17.5</v>
      </c>
      <c r="AD79" s="68">
        <v>34.5</v>
      </c>
      <c r="AE79" s="68">
        <v>34</v>
      </c>
      <c r="AF79" s="68">
        <v>0</v>
      </c>
      <c r="AG79" s="68">
        <v>0</v>
      </c>
      <c r="AH79" s="68">
        <v>0</v>
      </c>
      <c r="AI79" s="87" t="s">
        <v>37</v>
      </c>
      <c r="AJ79" s="87" t="s">
        <v>38</v>
      </c>
      <c r="AK79" s="68">
        <v>0</v>
      </c>
      <c r="AL79" s="68">
        <v>20</v>
      </c>
      <c r="AS79" s="38"/>
    </row>
    <row r="80" spans="1:45" s="37" customFormat="1" x14ac:dyDescent="0.25">
      <c r="A80" s="84">
        <f>products_parts[[#This Row],[Total Price]]+ROW()*0.0001</f>
        <v>1260.008</v>
      </c>
      <c r="B80" s="75">
        <f>products_parts[[#This Row],[cap_uf]]/1000000</f>
        <v>2</v>
      </c>
      <c r="C80" s="93">
        <f>products_parts[[#This Row],[Cap]]*products_parts[Total Parallel]/products_parts[Cells in Series]</f>
        <v>28</v>
      </c>
      <c r="D80" s="75">
        <f>PI()*((products_parts[[#This Row],[diameter]]/2)^2)*products_parts[[#This Row],[length]]/1000000</f>
        <v>2.8274333882308137E-3</v>
      </c>
      <c r="E80" s="75">
        <f>IF(products_parts[[#This Row],[Volume (L)]]=0,products_parts[[#This Row],[Height]]*products_parts[[#This Row],[length]]*products_parts[[#This Row],[Width Total]]/1000000,products_parts[[#This Row],[Volume (L)]])</f>
        <v>2.8274333882308137E-3</v>
      </c>
      <c r="F80" s="75">
        <f>products_parts[esr_dc]*products_parts[Cells in Series]/products_parts[Total Parallel]</f>
        <v>40.357142857142854</v>
      </c>
      <c r="G80" s="75">
        <f>IF(products_parts[[#This Row],[height2]]=0,products_parts[[#This Row],[length]]-products_parts[[#This Row],[lead_space_s]],products_parts[[#This Row],[height2]])</f>
        <v>25</v>
      </c>
      <c r="H80" s="85">
        <f>IF(products_parts[[#This Row],[thickness]]=0,IF(products_parts[[#This Row],[width]]=0,products_parts[[#This Row],[diameter]],products_parts[[#This Row],[width]]),products_parts[[#This Row],[thickness]])</f>
        <v>22</v>
      </c>
      <c r="I80" s="85">
        <f>IF(products_parts[[#This Row],[voltage]]=0,1000,ROUNDUP(WorkingV/products_parts[Operating Voltage (temp)],0))</f>
        <v>3</v>
      </c>
      <c r="J80" s="75">
        <f>ROUNDUP(Constant/(WorkingV-MinV)*((products_parts[esr_dc]/1000*products_parts[[#This Row],[Cap]])+Time)*products_parts[[#This Row],[Cells in Series]]/products_parts[[#This Row],[Cap]],0)</f>
        <v>42</v>
      </c>
      <c r="K80" s="78">
        <f>ROUNDUP(((Constant/WorkingV+Constant/MinV)/2)*(((products_parts[esr_dc]/1000*products_parts[Cap]))+Time)/(WorkingV-MinV)*(products_parts[[#This Row],[Cells in Series]]/products_parts[Cap]),0)</f>
        <v>4</v>
      </c>
      <c r="L80" s="79">
        <f>IF(Calculations!$J$2=1,products_parts[Cells in Parallel],products_parts[Parallel CP])</f>
        <v>42</v>
      </c>
      <c r="M80" s="75">
        <f>products_parts[[#This Row],[Cells in Series]]*products_parts[[#This Row],[Total Parallel]]</f>
        <v>126</v>
      </c>
      <c r="N80" s="76">
        <f>products_parts[[#This Row],[Price per Cell]]*products_parts[[#This Row],[Total '# of Caps]]</f>
        <v>1260</v>
      </c>
      <c r="O80" s="77">
        <f>products_parts[[#This Row],[Calculated Volume]]*products_parts[[#This Row],[Total '# of Caps]]</f>
        <v>0.3562566069170825</v>
      </c>
      <c r="P80" s="77">
        <f>products_parts[[#This Row],[weight]]*products_parts[[#This Row],[Total '# of Caps]]</f>
        <v>0</v>
      </c>
      <c r="Q80" s="78" t="b">
        <f>AND(products_parts[[#This Row],[Height]]&gt;MIN(Calculations!$K$2,Calculations!$L$2),products_parts[[#This Row],[Height]]&lt;MAX(Calculations!$K$2,Calculations!$L$2))</f>
        <v>1</v>
      </c>
      <c r="R80" s="86">
        <f>IF(ISNUMBER(SEARCH("TPL",products_parts[[#This Row],[series]])),1,IF(products_parts[[#This Row],[series]]="PC",1,IF(ISNUMBER(SEARCH("PBL",products_parts[[#This Row],[series]])),2,2)))</f>
        <v>2</v>
      </c>
      <c r="S80" s="78" t="str">
        <f>IF(TempRange=2,IF(products_parts[[#This Row],[voltage2]]=0,"0","1"),"1")</f>
        <v>1</v>
      </c>
      <c r="T80" s="78">
        <f>IF(TempRange=1,products_parts[voltage],products_parts[voltage2])</f>
        <v>5.4</v>
      </c>
      <c r="U80" s="79" t="str">
        <f>IF(ISNUMBER(SEARCH("PBL ",products_parts[series])),"PBL",products_parts[series])</f>
        <v>PBLL</v>
      </c>
      <c r="V80" s="87" t="s">
        <v>70</v>
      </c>
      <c r="W80" s="87" t="s">
        <v>78</v>
      </c>
      <c r="X80" s="68">
        <v>5.4</v>
      </c>
      <c r="Y80" s="68">
        <v>4.5999999999999996</v>
      </c>
      <c r="Z80" s="68">
        <v>2000000</v>
      </c>
      <c r="AA80" s="68">
        <v>565</v>
      </c>
      <c r="AB80" s="68">
        <v>0.19</v>
      </c>
      <c r="AC80" s="68">
        <v>12</v>
      </c>
      <c r="AD80" s="68">
        <v>25</v>
      </c>
      <c r="AE80" s="68">
        <v>22</v>
      </c>
      <c r="AF80" s="68">
        <v>0</v>
      </c>
      <c r="AG80" s="68">
        <v>0</v>
      </c>
      <c r="AH80" s="68">
        <v>0</v>
      </c>
      <c r="AI80" s="87" t="s">
        <v>37</v>
      </c>
      <c r="AJ80" s="87" t="s">
        <v>38</v>
      </c>
      <c r="AK80" s="68">
        <v>0</v>
      </c>
      <c r="AL80" s="68">
        <v>10</v>
      </c>
      <c r="AS80" s="38"/>
    </row>
    <row r="81" spans="1:45" s="37" customFormat="1" x14ac:dyDescent="0.25">
      <c r="A81" s="84">
        <f>products_parts[[#This Row],[Total Price]]+ROW()*0.0001</f>
        <v>1089.0081</v>
      </c>
      <c r="B81" s="75">
        <f>products_parts[[#This Row],[cap_uf]]/1000000</f>
        <v>2.5</v>
      </c>
      <c r="C81" s="93">
        <f>products_parts[[#This Row],[Cap]]*products_parts[Total Parallel]/products_parts[Cells in Series]</f>
        <v>27.5</v>
      </c>
      <c r="D81" s="75">
        <f>PI()*((products_parts[[#This Row],[diameter]]/2)^2)*products_parts[[#This Row],[length]]/1000000</f>
        <v>2.8274333882308137E-3</v>
      </c>
      <c r="E81" s="75">
        <f>IF(products_parts[[#This Row],[Volume (L)]]=0,products_parts[[#This Row],[Height]]*products_parts[[#This Row],[length]]*products_parts[[#This Row],[Width Total]]/1000000,products_parts[[#This Row],[Volume (L)]])</f>
        <v>2.8274333882308137E-3</v>
      </c>
      <c r="F81" s="75">
        <f>products_parts[esr_dc]*products_parts[Cells in Series]/products_parts[Total Parallel]</f>
        <v>35</v>
      </c>
      <c r="G81" s="75">
        <f>IF(products_parts[[#This Row],[height2]]=0,products_parts[[#This Row],[length]]-products_parts[[#This Row],[lead_space_s]],products_parts[[#This Row],[height2]])</f>
        <v>25</v>
      </c>
      <c r="H81" s="85">
        <f>IF(products_parts[[#This Row],[thickness]]=0,IF(products_parts[[#This Row],[width]]=0,products_parts[[#This Row],[diameter]],products_parts[[#This Row],[width]]),products_parts[[#This Row],[thickness]])</f>
        <v>22</v>
      </c>
      <c r="I81" s="85">
        <f>IF(products_parts[[#This Row],[voltage]]=0,1000,ROUNDUP(WorkingV/products_parts[Operating Voltage (temp)],0))</f>
        <v>3</v>
      </c>
      <c r="J81" s="75">
        <f>ROUNDUP(Constant/(WorkingV-MinV)*((products_parts[esr_dc]/1000*products_parts[[#This Row],[Cap]])+Time)*products_parts[[#This Row],[Cells in Series]]/products_parts[[#This Row],[Cap]],0)</f>
        <v>33</v>
      </c>
      <c r="K81" s="78">
        <f>ROUNDUP(((Constant/WorkingV+Constant/MinV)/2)*(((products_parts[esr_dc]/1000*products_parts[Cap]))+Time)/(WorkingV-MinV)*(products_parts[[#This Row],[Cells in Series]]/products_parts[Cap]),0)</f>
        <v>4</v>
      </c>
      <c r="L81" s="79">
        <f>IF(Calculations!$J$2=1,products_parts[Cells in Parallel],products_parts[Parallel CP])</f>
        <v>33</v>
      </c>
      <c r="M81" s="75">
        <f>products_parts[[#This Row],[Cells in Series]]*products_parts[[#This Row],[Total Parallel]]</f>
        <v>99</v>
      </c>
      <c r="N81" s="76">
        <f>products_parts[[#This Row],[Price per Cell]]*products_parts[[#This Row],[Total '# of Caps]]</f>
        <v>1089</v>
      </c>
      <c r="O81" s="77">
        <f>products_parts[[#This Row],[Calculated Volume]]*products_parts[[#This Row],[Total '# of Caps]]</f>
        <v>0.27991590543485056</v>
      </c>
      <c r="P81" s="77">
        <f>products_parts[[#This Row],[weight]]*products_parts[[#This Row],[Total '# of Caps]]</f>
        <v>0</v>
      </c>
      <c r="Q81" s="78" t="b">
        <f>AND(products_parts[[#This Row],[Height]]&gt;MIN(Calculations!$K$2,Calculations!$L$2),products_parts[[#This Row],[Height]]&lt;MAX(Calculations!$K$2,Calculations!$L$2))</f>
        <v>1</v>
      </c>
      <c r="R81" s="86">
        <f>IF(ISNUMBER(SEARCH("TPL",products_parts[[#This Row],[series]])),1,IF(products_parts[[#This Row],[series]]="PC",1,IF(ISNUMBER(SEARCH("PBL",products_parts[[#This Row],[series]])),2,2)))</f>
        <v>2</v>
      </c>
      <c r="S81" s="78" t="str">
        <f>IF(TempRange=2,IF(products_parts[[#This Row],[voltage2]]=0,"0","1"),"1")</f>
        <v>1</v>
      </c>
      <c r="T81" s="78">
        <f>IF(TempRange=1,products_parts[voltage],products_parts[voltage2])</f>
        <v>5.4</v>
      </c>
      <c r="U81" s="79" t="str">
        <f>IF(ISNUMBER(SEARCH("PBL ",products_parts[series])),"PBL",products_parts[series])</f>
        <v>PBLL</v>
      </c>
      <c r="V81" s="87" t="s">
        <v>70</v>
      </c>
      <c r="W81" s="87" t="s">
        <v>79</v>
      </c>
      <c r="X81" s="68">
        <v>5.4</v>
      </c>
      <c r="Y81" s="68">
        <v>4.5999999999999996</v>
      </c>
      <c r="Z81" s="68">
        <v>2500000</v>
      </c>
      <c r="AA81" s="68">
        <v>385</v>
      </c>
      <c r="AB81" s="68">
        <v>0.19</v>
      </c>
      <c r="AC81" s="68">
        <v>12</v>
      </c>
      <c r="AD81" s="68">
        <v>25</v>
      </c>
      <c r="AE81" s="68">
        <v>22</v>
      </c>
      <c r="AF81" s="68">
        <v>0</v>
      </c>
      <c r="AG81" s="68">
        <v>0</v>
      </c>
      <c r="AH81" s="68">
        <v>0</v>
      </c>
      <c r="AI81" s="87" t="s">
        <v>37</v>
      </c>
      <c r="AJ81" s="87" t="s">
        <v>38</v>
      </c>
      <c r="AK81" s="68">
        <v>0</v>
      </c>
      <c r="AL81" s="68">
        <v>11</v>
      </c>
      <c r="AS81" s="38"/>
    </row>
    <row r="82" spans="1:45" s="37" customFormat="1" x14ac:dyDescent="0.25">
      <c r="A82" s="84">
        <f>products_parts[[#This Row],[Total Price]]+ROW()*0.0001</f>
        <v>924.00819999999999</v>
      </c>
      <c r="B82" s="75">
        <f>products_parts[[#This Row],[cap_uf]]/1000000</f>
        <v>3</v>
      </c>
      <c r="C82" s="93">
        <f>products_parts[[#This Row],[Cap]]*products_parts[Total Parallel]/products_parts[Cells in Series]</f>
        <v>28</v>
      </c>
      <c r="D82" s="75">
        <f>PI()*((products_parts[[#This Row],[diameter]]/2)^2)*products_parts[[#This Row],[length]]/1000000</f>
        <v>2.8274333882308137E-3</v>
      </c>
      <c r="E82" s="75">
        <f>IF(products_parts[[#This Row],[Volume (L)]]=0,products_parts[[#This Row],[Height]]*products_parts[[#This Row],[length]]*products_parts[[#This Row],[Width Total]]/1000000,products_parts[[#This Row],[Volume (L)]])</f>
        <v>2.8274333882308137E-3</v>
      </c>
      <c r="F82" s="75">
        <f>products_parts[esr_dc]*products_parts[Cells in Series]/products_parts[Total Parallel]</f>
        <v>34.821428571428569</v>
      </c>
      <c r="G82" s="75">
        <f>IF(products_parts[[#This Row],[height2]]=0,products_parts[[#This Row],[length]]-products_parts[[#This Row],[lead_space_s]],products_parts[[#This Row],[height2]])</f>
        <v>25</v>
      </c>
      <c r="H82" s="85">
        <f>IF(products_parts[[#This Row],[thickness]]=0,IF(products_parts[[#This Row],[width]]=0,products_parts[[#This Row],[diameter]],products_parts[[#This Row],[width]]),products_parts[[#This Row],[thickness]])</f>
        <v>22</v>
      </c>
      <c r="I82" s="85">
        <f>IF(products_parts[[#This Row],[voltage]]=0,1000,ROUNDUP(WorkingV/products_parts[Operating Voltage (temp)],0))</f>
        <v>3</v>
      </c>
      <c r="J82" s="75">
        <f>ROUNDUP(Constant/(WorkingV-MinV)*((products_parts[esr_dc]/1000*products_parts[[#This Row],[Cap]])+Time)*products_parts[[#This Row],[Cells in Series]]/products_parts[[#This Row],[Cap]],0)</f>
        <v>28</v>
      </c>
      <c r="K82" s="78">
        <f>ROUNDUP(((Constant/WorkingV+Constant/MinV)/2)*(((products_parts[esr_dc]/1000*products_parts[Cap]))+Time)/(WorkingV-MinV)*(products_parts[[#This Row],[Cells in Series]]/products_parts[Cap]),0)</f>
        <v>3</v>
      </c>
      <c r="L82" s="79">
        <f>IF(Calculations!$J$2=1,products_parts[Cells in Parallel],products_parts[Parallel CP])</f>
        <v>28</v>
      </c>
      <c r="M82" s="75">
        <f>products_parts[[#This Row],[Cells in Series]]*products_parts[[#This Row],[Total Parallel]]</f>
        <v>84</v>
      </c>
      <c r="N82" s="76">
        <f>products_parts[[#This Row],[Price per Cell]]*products_parts[[#This Row],[Total '# of Caps]]</f>
        <v>924</v>
      </c>
      <c r="O82" s="77">
        <f>products_parts[[#This Row],[Calculated Volume]]*products_parts[[#This Row],[Total '# of Caps]]</f>
        <v>0.23750440461138836</v>
      </c>
      <c r="P82" s="77">
        <f>products_parts[[#This Row],[weight]]*products_parts[[#This Row],[Total '# of Caps]]</f>
        <v>0</v>
      </c>
      <c r="Q82" s="78" t="b">
        <f>AND(products_parts[[#This Row],[Height]]&gt;MIN(Calculations!$K$2,Calculations!$L$2),products_parts[[#This Row],[Height]]&lt;MAX(Calculations!$K$2,Calculations!$L$2))</f>
        <v>1</v>
      </c>
      <c r="R82" s="86">
        <f>IF(ISNUMBER(SEARCH("TPL",products_parts[[#This Row],[series]])),1,IF(products_parts[[#This Row],[series]]="PC",1,IF(ISNUMBER(SEARCH("PBL",products_parts[[#This Row],[series]])),2,2)))</f>
        <v>2</v>
      </c>
      <c r="S82" s="78" t="str">
        <f>IF(TempRange=2,IF(products_parts[[#This Row],[voltage2]]=0,"0","1"),"1")</f>
        <v>1</v>
      </c>
      <c r="T82" s="78">
        <f>IF(TempRange=1,products_parts[voltage],products_parts[voltage2])</f>
        <v>5.4</v>
      </c>
      <c r="U82" s="79" t="str">
        <f>IF(ISNUMBER(SEARCH("PBL ",products_parts[series])),"PBL",products_parts[series])</f>
        <v>PBLL</v>
      </c>
      <c r="V82" s="87" t="s">
        <v>70</v>
      </c>
      <c r="W82" s="87" t="s">
        <v>80</v>
      </c>
      <c r="X82" s="68">
        <v>5.4</v>
      </c>
      <c r="Y82" s="68">
        <v>4.5999999999999996</v>
      </c>
      <c r="Z82" s="88">
        <v>3000000</v>
      </c>
      <c r="AA82" s="68">
        <v>325</v>
      </c>
      <c r="AB82" s="68">
        <v>0.19</v>
      </c>
      <c r="AC82" s="68">
        <v>12</v>
      </c>
      <c r="AD82" s="68">
        <v>25</v>
      </c>
      <c r="AE82" s="68">
        <v>22</v>
      </c>
      <c r="AF82" s="68">
        <v>0</v>
      </c>
      <c r="AG82" s="68">
        <v>0</v>
      </c>
      <c r="AH82" s="68">
        <v>0</v>
      </c>
      <c r="AI82" s="87" t="s">
        <v>37</v>
      </c>
      <c r="AJ82" s="87" t="s">
        <v>38</v>
      </c>
      <c r="AK82" s="68">
        <v>0</v>
      </c>
      <c r="AL82" s="68">
        <v>11</v>
      </c>
      <c r="AS82" s="38"/>
    </row>
    <row r="83" spans="1:45" s="37" customFormat="1" x14ac:dyDescent="0.25">
      <c r="A83" s="84">
        <f>products_parts[[#This Row],[Total Price]]+ROW()*0.0001</f>
        <v>724.50829999999996</v>
      </c>
      <c r="B83" s="75">
        <f>products_parts[[#This Row],[cap_uf]]/1000000</f>
        <v>4</v>
      </c>
      <c r="C83" s="93">
        <f>products_parts[[#This Row],[Cap]]*products_parts[Total Parallel]/products_parts[Cells in Series]</f>
        <v>28</v>
      </c>
      <c r="D83" s="75">
        <f>PI()*((products_parts[[#This Row],[diameter]]/2)^2)*products_parts[[#This Row],[length]]/1000000</f>
        <v>3.3929200658769764E-3</v>
      </c>
      <c r="E83" s="75">
        <f>IF(products_parts[[#This Row],[Volume (L)]]=0,products_parts[[#This Row],[Height]]*products_parts[[#This Row],[length]]*products_parts[[#This Row],[Width Total]]/1000000,products_parts[[#This Row],[Volume (L)]])</f>
        <v>3.3929200658769764E-3</v>
      </c>
      <c r="F83" s="75">
        <f>products_parts[esr_dc]*products_parts[Cells in Series]/products_parts[Total Parallel]</f>
        <v>37.857142857142854</v>
      </c>
      <c r="G83" s="75">
        <f>IF(products_parts[[#This Row],[height2]]=0,products_parts[[#This Row],[length]]-products_parts[[#This Row],[lead_space_s]],products_parts[[#This Row],[height2]])</f>
        <v>30</v>
      </c>
      <c r="H83" s="85">
        <f>IF(products_parts[[#This Row],[thickness]]=0,IF(products_parts[[#This Row],[width]]=0,products_parts[[#This Row],[diameter]],products_parts[[#This Row],[width]]),products_parts[[#This Row],[thickness]])</f>
        <v>22</v>
      </c>
      <c r="I83" s="85">
        <f>IF(products_parts[[#This Row],[voltage]]=0,1000,ROUNDUP(WorkingV/products_parts[Operating Voltage (temp)],0))</f>
        <v>3</v>
      </c>
      <c r="J83" s="75">
        <f>ROUNDUP(Constant/(WorkingV-MinV)*((products_parts[esr_dc]/1000*products_parts[[#This Row],[Cap]])+Time)*products_parts[[#This Row],[Cells in Series]]/products_parts[[#This Row],[Cap]],0)</f>
        <v>21</v>
      </c>
      <c r="K83" s="78">
        <f>ROUNDUP(((Constant/WorkingV+Constant/MinV)/2)*(((products_parts[esr_dc]/1000*products_parts[Cap]))+Time)/(WorkingV-MinV)*(products_parts[[#This Row],[Cells in Series]]/products_parts[Cap]),0)</f>
        <v>2</v>
      </c>
      <c r="L83" s="79">
        <f>IF(Calculations!$J$2=1,products_parts[Cells in Parallel],products_parts[Parallel CP])</f>
        <v>21</v>
      </c>
      <c r="M83" s="75">
        <f>products_parts[[#This Row],[Cells in Series]]*products_parts[[#This Row],[Total Parallel]]</f>
        <v>63</v>
      </c>
      <c r="N83" s="76">
        <f>products_parts[[#This Row],[Price per Cell]]*products_parts[[#This Row],[Total '# of Caps]]</f>
        <v>724.5</v>
      </c>
      <c r="O83" s="77">
        <f>products_parts[[#This Row],[Calculated Volume]]*products_parts[[#This Row],[Total '# of Caps]]</f>
        <v>0.21375396415024953</v>
      </c>
      <c r="P83" s="77">
        <f>products_parts[[#This Row],[weight]]*products_parts[[#This Row],[Total '# of Caps]]</f>
        <v>0</v>
      </c>
      <c r="Q83" s="78" t="b">
        <f>AND(products_parts[[#This Row],[Height]]&gt;MIN(Calculations!$K$2,Calculations!$L$2),products_parts[[#This Row],[Height]]&lt;MAX(Calculations!$K$2,Calculations!$L$2))</f>
        <v>1</v>
      </c>
      <c r="R83" s="86">
        <f>IF(ISNUMBER(SEARCH("TPL",products_parts[[#This Row],[series]])),1,IF(products_parts[[#This Row],[series]]="PC",1,IF(ISNUMBER(SEARCH("PBL",products_parts[[#This Row],[series]])),2,2)))</f>
        <v>2</v>
      </c>
      <c r="S83" s="78" t="str">
        <f>IF(TempRange=2,IF(products_parts[[#This Row],[voltage2]]=0,"0","1"),"1")</f>
        <v>1</v>
      </c>
      <c r="T83" s="78">
        <f>IF(TempRange=1,products_parts[voltage],products_parts[voltage2])</f>
        <v>5.4</v>
      </c>
      <c r="U83" s="79" t="str">
        <f>IF(ISNUMBER(SEARCH("PBL ",products_parts[series])),"PBL",products_parts[series])</f>
        <v>PBLL</v>
      </c>
      <c r="V83" s="87" t="s">
        <v>70</v>
      </c>
      <c r="W83" s="87" t="s">
        <v>81</v>
      </c>
      <c r="X83" s="68">
        <v>5.4</v>
      </c>
      <c r="Y83" s="68">
        <v>4.5999999999999996</v>
      </c>
      <c r="Z83" s="68">
        <v>4000000</v>
      </c>
      <c r="AA83" s="68">
        <v>265</v>
      </c>
      <c r="AB83" s="68">
        <v>0.19</v>
      </c>
      <c r="AC83" s="68">
        <v>12</v>
      </c>
      <c r="AD83" s="68">
        <v>30</v>
      </c>
      <c r="AE83" s="68">
        <v>22</v>
      </c>
      <c r="AF83" s="68">
        <v>0</v>
      </c>
      <c r="AG83" s="68">
        <v>0</v>
      </c>
      <c r="AH83" s="68">
        <v>0</v>
      </c>
      <c r="AI83" s="87" t="s">
        <v>37</v>
      </c>
      <c r="AJ83" s="87" t="s">
        <v>38</v>
      </c>
      <c r="AK83" s="68">
        <v>0</v>
      </c>
      <c r="AL83" s="68">
        <v>11.5</v>
      </c>
      <c r="AS83" s="38"/>
    </row>
    <row r="84" spans="1:45" s="37" customFormat="1" x14ac:dyDescent="0.25">
      <c r="A84" s="84">
        <f>products_parts[[#This Row],[Total Price]]+ROW()*0.0001</f>
        <v>650.25840000000005</v>
      </c>
      <c r="B84" s="75">
        <f>products_parts[[#This Row],[cap_uf]]/1000000</f>
        <v>5</v>
      </c>
      <c r="C84" s="93">
        <f>products_parts[[#This Row],[Cap]]*products_parts[Total Parallel]/products_parts[Cells in Series]</f>
        <v>28.333333333333332</v>
      </c>
      <c r="D84" s="75">
        <f>PI()*((products_parts[[#This Row],[diameter]]/2)^2)*products_parts[[#This Row],[length]]/1000000</f>
        <v>3.9584067435231391E-3</v>
      </c>
      <c r="E84" s="75">
        <f>IF(products_parts[[#This Row],[Volume (L)]]=0,products_parts[[#This Row],[Height]]*products_parts[[#This Row],[length]]*products_parts[[#This Row],[Width Total]]/1000000,products_parts[[#This Row],[Volume (L)]])</f>
        <v>3.9584067435231391E-3</v>
      </c>
      <c r="F84" s="75">
        <f>products_parts[esr_dc]*products_parts[Cells in Series]/products_parts[Total Parallel]</f>
        <v>41.470588235294116</v>
      </c>
      <c r="G84" s="75">
        <f>IF(products_parts[[#This Row],[height2]]=0,products_parts[[#This Row],[length]]-products_parts[[#This Row],[lead_space_s]],products_parts[[#This Row],[height2]])</f>
        <v>35</v>
      </c>
      <c r="H84" s="85">
        <f>IF(products_parts[[#This Row],[thickness]]=0,IF(products_parts[[#This Row],[width]]=0,products_parts[[#This Row],[diameter]],products_parts[[#This Row],[width]]),products_parts[[#This Row],[thickness]])</f>
        <v>22</v>
      </c>
      <c r="I84" s="85">
        <f>IF(products_parts[[#This Row],[voltage]]=0,1000,ROUNDUP(WorkingV/products_parts[Operating Voltage (temp)],0))</f>
        <v>3</v>
      </c>
      <c r="J84" s="75">
        <f>ROUNDUP(Constant/(WorkingV-MinV)*((products_parts[esr_dc]/1000*products_parts[[#This Row],[Cap]])+Time)*products_parts[[#This Row],[Cells in Series]]/products_parts[[#This Row],[Cap]],0)</f>
        <v>17</v>
      </c>
      <c r="K84" s="78">
        <f>ROUNDUP(((Constant/WorkingV+Constant/MinV)/2)*(((products_parts[esr_dc]/1000*products_parts[Cap]))+Time)/(WorkingV-MinV)*(products_parts[[#This Row],[Cells in Series]]/products_parts[Cap]),0)</f>
        <v>2</v>
      </c>
      <c r="L84" s="79">
        <f>IF(Calculations!$J$2=1,products_parts[Cells in Parallel],products_parts[Parallel CP])</f>
        <v>17</v>
      </c>
      <c r="M84" s="75">
        <f>products_parts[[#This Row],[Cells in Series]]*products_parts[[#This Row],[Total Parallel]]</f>
        <v>51</v>
      </c>
      <c r="N84" s="76">
        <f>products_parts[[#This Row],[Price per Cell]]*products_parts[[#This Row],[Total '# of Caps]]</f>
        <v>650.25</v>
      </c>
      <c r="O84" s="77">
        <f>products_parts[[#This Row],[Calculated Volume]]*products_parts[[#This Row],[Total '# of Caps]]</f>
        <v>0.20187874391968011</v>
      </c>
      <c r="P84" s="77">
        <f>products_parts[[#This Row],[weight]]*products_parts[[#This Row],[Total '# of Caps]]</f>
        <v>0</v>
      </c>
      <c r="Q84" s="78" t="b">
        <f>AND(products_parts[[#This Row],[Height]]&gt;MIN(Calculations!$K$2,Calculations!$L$2),products_parts[[#This Row],[Height]]&lt;MAX(Calculations!$K$2,Calculations!$L$2))</f>
        <v>1</v>
      </c>
      <c r="R84" s="86">
        <f>IF(ISNUMBER(SEARCH("TPL",products_parts[[#This Row],[series]])),1,IF(products_parts[[#This Row],[series]]="PC",1,IF(ISNUMBER(SEARCH("PBL",products_parts[[#This Row],[series]])),2,2)))</f>
        <v>2</v>
      </c>
      <c r="S84" s="78" t="str">
        <f>IF(TempRange=2,IF(products_parts[[#This Row],[voltage2]]=0,"0","1"),"1")</f>
        <v>1</v>
      </c>
      <c r="T84" s="78">
        <f>IF(TempRange=1,products_parts[voltage],products_parts[voltage2])</f>
        <v>5.4</v>
      </c>
      <c r="U84" s="79" t="str">
        <f>IF(ISNUMBER(SEARCH("PBL ",products_parts[series])),"PBL",products_parts[series])</f>
        <v>PBLL</v>
      </c>
      <c r="V84" s="87" t="s">
        <v>70</v>
      </c>
      <c r="W84" s="87" t="s">
        <v>82</v>
      </c>
      <c r="X84" s="68">
        <v>5.4</v>
      </c>
      <c r="Y84" s="68">
        <v>4.5999999999999996</v>
      </c>
      <c r="Z84" s="68">
        <v>5000000</v>
      </c>
      <c r="AA84" s="68">
        <v>235</v>
      </c>
      <c r="AB84" s="68">
        <v>0.2</v>
      </c>
      <c r="AC84" s="68">
        <v>12</v>
      </c>
      <c r="AD84" s="68">
        <v>35</v>
      </c>
      <c r="AE84" s="68">
        <v>22</v>
      </c>
      <c r="AF84" s="68">
        <v>0</v>
      </c>
      <c r="AG84" s="68">
        <v>0</v>
      </c>
      <c r="AH84" s="68">
        <v>0</v>
      </c>
      <c r="AI84" s="87" t="s">
        <v>37</v>
      </c>
      <c r="AJ84" s="87" t="s">
        <v>38</v>
      </c>
      <c r="AK84" s="68">
        <v>0</v>
      </c>
      <c r="AL84" s="68">
        <v>12.75</v>
      </c>
      <c r="AS84" s="38"/>
    </row>
    <row r="85" spans="1:45" s="37" customFormat="1" x14ac:dyDescent="0.25">
      <c r="A85" s="84">
        <f>products_parts[[#This Row],[Total Price]]+ROW()*0.0001</f>
        <v>12825.0085</v>
      </c>
      <c r="B85" s="75">
        <f>products_parts[[#This Row],[cap_uf]]/1000000</f>
        <v>2</v>
      </c>
      <c r="C85" s="93">
        <f>products_parts[[#This Row],[Cap]]*products_parts[Total Parallel]/products_parts[Cells in Series]</f>
        <v>30</v>
      </c>
      <c r="D85" s="75">
        <f>PI()*((products_parts[[#This Row],[diameter]]/2)^2)*products_parts[[#This Row],[length]]/1000000</f>
        <v>0</v>
      </c>
      <c r="E85" s="75">
        <f>IF(products_parts[[#This Row],[Volume (L)]]=0,products_parts[[#This Row],[Height]]*products_parts[[#This Row],[length]]*products_parts[[#This Row],[Width Total]]/1000000,products_parts[[#This Row],[Volume (L)]])</f>
        <v>4.7520000000000001E-3</v>
      </c>
      <c r="F85" s="75">
        <f>products_parts[esr_dc]*products_parts[Cells in Series]/products_parts[Total Parallel]</f>
        <v>66.666666666666671</v>
      </c>
      <c r="G85" s="75">
        <f>IF(products_parts[[#This Row],[height2]]=0,products_parts[[#This Row],[length]]-products_parts[[#This Row],[lead_space_s]],products_parts[[#This Row],[height2]])</f>
        <v>18</v>
      </c>
      <c r="H85" s="85">
        <f>IF(products_parts[[#This Row],[thickness]]=0,IF(products_parts[[#This Row],[width]]=0,products_parts[[#This Row],[diameter]],products_parts[[#This Row],[width]]),products_parts[[#This Row],[thickness]])</f>
        <v>11</v>
      </c>
      <c r="I85" s="85">
        <f>IF(products_parts[[#This Row],[voltage]]=0,1000,ROUNDUP(WorkingV/products_parts[Operating Voltage (temp)],0))</f>
        <v>3</v>
      </c>
      <c r="J85" s="75">
        <f>ROUNDUP(Constant/(WorkingV-MinV)*((products_parts[esr_dc]/1000*products_parts[[#This Row],[Cap]])+Time)*products_parts[[#This Row],[Cells in Series]]/products_parts[[#This Row],[Cap]],0)</f>
        <v>45</v>
      </c>
      <c r="K85" s="78">
        <f>ROUNDUP(((Constant/WorkingV+Constant/MinV)/2)*(((products_parts[esr_dc]/1000*products_parts[Cap]))+Time)/(WorkingV-MinV)*(products_parts[[#This Row],[Cells in Series]]/products_parts[Cap]),0)</f>
        <v>5</v>
      </c>
      <c r="L85" s="79">
        <f>IF(Calculations!$J$2=1,products_parts[Cells in Parallel],products_parts[Parallel CP])</f>
        <v>45</v>
      </c>
      <c r="M85" s="75">
        <f>products_parts[[#This Row],[Cells in Series]]*products_parts[[#This Row],[Total Parallel]]</f>
        <v>135</v>
      </c>
      <c r="N85" s="76">
        <f>products_parts[[#This Row],[Price per Cell]]*products_parts[[#This Row],[Total '# of Caps]]</f>
        <v>12825</v>
      </c>
      <c r="O85" s="77">
        <f>products_parts[[#This Row],[Calculated Volume]]*products_parts[[#This Row],[Total '# of Caps]]</f>
        <v>0.64151999999999998</v>
      </c>
      <c r="P85" s="77">
        <f>products_parts[[#This Row],[weight]]*products_parts[[#This Row],[Total '# of Caps]]</f>
        <v>1080</v>
      </c>
      <c r="Q85" s="78" t="b">
        <f>AND(products_parts[[#This Row],[Height]]&gt;MIN(Calculations!$K$2,Calculations!$L$2),products_parts[[#This Row],[Height]]&lt;MAX(Calculations!$K$2,Calculations!$L$2))</f>
        <v>1</v>
      </c>
      <c r="R85" s="86">
        <f>IF(ISNUMBER(SEARCH("TPL",products_parts[[#This Row],[series]])),1,IF(products_parts[[#This Row],[series]]="PC",1,IF(ISNUMBER(SEARCH("PBL",products_parts[[#This Row],[series]])),2,2)))</f>
        <v>2</v>
      </c>
      <c r="S85" s="78" t="str">
        <f>IF(TempRange=2,IF(products_parts[[#This Row],[voltage2]]=0,"0","1"),"1")</f>
        <v>1</v>
      </c>
      <c r="T85" s="78">
        <f>IF(TempRange=1,products_parts[voltage],products_parts[voltage2])</f>
        <v>5</v>
      </c>
      <c r="U85" s="79" t="str">
        <f>IF(ISNUMBER(SEARCH("PBL ",products_parts[series])),"PBL",products_parts[series])</f>
        <v>PC5-5</v>
      </c>
      <c r="V85" s="87" t="s">
        <v>83</v>
      </c>
      <c r="W85" s="87" t="s">
        <v>83</v>
      </c>
      <c r="X85" s="68">
        <v>5</v>
      </c>
      <c r="Y85" s="68">
        <v>0</v>
      </c>
      <c r="Z85" s="68">
        <v>2000000</v>
      </c>
      <c r="AA85" s="68">
        <v>1000</v>
      </c>
      <c r="AB85" s="68">
        <v>0.02</v>
      </c>
      <c r="AC85" s="68">
        <v>0</v>
      </c>
      <c r="AD85" s="68">
        <v>24</v>
      </c>
      <c r="AE85" s="68">
        <v>11</v>
      </c>
      <c r="AF85" s="68">
        <v>18</v>
      </c>
      <c r="AG85" s="68">
        <v>0</v>
      </c>
      <c r="AH85" s="68">
        <v>0</v>
      </c>
      <c r="AI85" s="87" t="s">
        <v>37</v>
      </c>
      <c r="AJ85" s="87" t="s">
        <v>156</v>
      </c>
      <c r="AK85" s="68">
        <v>8</v>
      </c>
      <c r="AL85" s="68">
        <v>95</v>
      </c>
      <c r="AS85" s="38"/>
    </row>
    <row r="86" spans="1:45" s="37" customFormat="1" x14ac:dyDescent="0.25">
      <c r="A86" s="84">
        <f>products_parts[[#This Row],[Total Price]]+ROW()*0.0001</f>
        <v>4659.7586000000001</v>
      </c>
      <c r="B86" s="75">
        <f>products_parts[[#This Row],[cap_uf]]/1000000</f>
        <v>0.25</v>
      </c>
      <c r="C86" s="93">
        <f>products_parts[[#This Row],[Cap]]*products_parts[Total Parallel]/products_parts[Cells in Series]</f>
        <v>27.25</v>
      </c>
      <c r="D86" s="75">
        <f>PI()*((products_parts[[#This Row],[diameter]]/2)^2)*products_parts[[#This Row],[length]]/1000000</f>
        <v>1.3351768777756623E-3</v>
      </c>
      <c r="E86" s="75">
        <f>IF(products_parts[[#This Row],[Volume (L)]]=0,products_parts[[#This Row],[Height]]*products_parts[[#This Row],[length]]*products_parts[[#This Row],[Width Total]]/1000000,products_parts[[#This Row],[Volume (L)]])</f>
        <v>1.3351768777756623E-3</v>
      </c>
      <c r="F86" s="75">
        <f>products_parts[esr_dc]*products_parts[Cells in Series]/products_parts[Total Parallel]</f>
        <v>33.027522935779814</v>
      </c>
      <c r="G86" s="75">
        <f>IF(products_parts[[#This Row],[height2]]=0,products_parts[[#This Row],[length]]-products_parts[[#This Row],[lead_space_s]],products_parts[[#This Row],[height2]])</f>
        <v>5</v>
      </c>
      <c r="H86" s="85">
        <f>IF(products_parts[[#This Row],[thickness]]=0,IF(products_parts[[#This Row],[width]]=0,products_parts[[#This Row],[diameter]],products_parts[[#This Row],[width]]),products_parts[[#This Row],[thickness]])</f>
        <v>18</v>
      </c>
      <c r="I86" s="85">
        <f>IF(products_parts[[#This Row],[voltage]]=0,1000,ROUNDUP(WorkingV/products_parts[Operating Voltage (temp)],0))</f>
        <v>3</v>
      </c>
      <c r="J86" s="75">
        <f>ROUNDUP(Constant/(WorkingV-MinV)*((products_parts[esr_dc]/1000*products_parts[[#This Row],[Cap]])+Time)*products_parts[[#This Row],[Cells in Series]]/products_parts[[#This Row],[Cap]],0)</f>
        <v>327</v>
      </c>
      <c r="K86" s="79">
        <f>ROUNDUP(((Constant/WorkingV+Constant/MinV)/2)*(((products_parts[esr_dc]/1000*products_parts[Cap]))+Time)/(WorkingV-MinV)*(products_parts[[#This Row],[Cells in Series]]/products_parts[Cap]),0)</f>
        <v>30</v>
      </c>
      <c r="L86" s="79">
        <f>IF(Calculations!$J$2=1,products_parts[Cells in Parallel],products_parts[Parallel CP])</f>
        <v>327</v>
      </c>
      <c r="M86" s="75">
        <f>products_parts[[#This Row],[Cells in Series]]*products_parts[[#This Row],[Total Parallel]]</f>
        <v>981</v>
      </c>
      <c r="N86" s="76">
        <f>products_parts[[#This Row],[Price per Cell]]*products_parts[[#This Row],[Total '# of Caps]]</f>
        <v>4659.75</v>
      </c>
      <c r="O86" s="77">
        <f>products_parts[[#This Row],[Calculated Volume]]*products_parts[[#This Row],[Total '# of Caps]]</f>
        <v>1.3098085170979246</v>
      </c>
      <c r="P86" s="77">
        <f>products_parts[[#This Row],[weight]]*products_parts[[#This Row],[Total '# of Caps]]</f>
        <v>0</v>
      </c>
      <c r="Q86" s="78" t="b">
        <f>AND(products_parts[[#This Row],[Height]]&gt;MIN(Calculations!$K$2,Calculations!$L$2),products_parts[[#This Row],[Height]]&lt;MAX(Calculations!$K$2,Calculations!$L$2))</f>
        <v>1</v>
      </c>
      <c r="R86" s="86">
        <f>IF(ISNUMBER(SEARCH("TPL",products_parts[[#This Row],[series]])),1,IF(products_parts[[#This Row],[series]]="PC",1,IF(ISNUMBER(SEARCH("PBL",products_parts[[#This Row],[series]])),2,2)))</f>
        <v>2</v>
      </c>
      <c r="S86" s="86" t="str">
        <f>IF(TempRange=2,IF(products_parts[[#This Row],[voltage2]]=0,"0","1"),"1")</f>
        <v>1</v>
      </c>
      <c r="T86" s="78">
        <f>IF(TempRange=1,products_parts[voltage],products_parts[voltage2])</f>
        <v>5</v>
      </c>
      <c r="U86" s="79" t="str">
        <f>IF(ISNUMBER(SEARCH("PBL ",products_parts[series])),"PBL",products_parts[series])</f>
        <v>PBL-NB</v>
      </c>
      <c r="V86" s="87" t="s">
        <v>250</v>
      </c>
      <c r="W86" s="87" t="s">
        <v>251</v>
      </c>
      <c r="X86" s="68">
        <v>5</v>
      </c>
      <c r="Y86" s="68">
        <v>4.5999999999999996</v>
      </c>
      <c r="Z86" s="68">
        <v>250000</v>
      </c>
      <c r="AA86" s="68">
        <v>3600</v>
      </c>
      <c r="AB86" s="68">
        <v>2E-3</v>
      </c>
      <c r="AC86" s="68">
        <v>10</v>
      </c>
      <c r="AD86" s="68">
        <v>17</v>
      </c>
      <c r="AE86" s="68">
        <v>18</v>
      </c>
      <c r="AF86" s="68">
        <v>0</v>
      </c>
      <c r="AG86" s="68">
        <v>0</v>
      </c>
      <c r="AH86" s="68">
        <v>12</v>
      </c>
      <c r="AI86" s="87" t="s">
        <v>37</v>
      </c>
      <c r="AJ86" s="87" t="s">
        <v>38</v>
      </c>
      <c r="AK86" s="68">
        <v>0</v>
      </c>
      <c r="AL86" s="68">
        <v>4.75</v>
      </c>
      <c r="AS86" s="38"/>
    </row>
    <row r="87" spans="1:45" s="37" customFormat="1" x14ac:dyDescent="0.25">
      <c r="A87" s="84">
        <f>products_parts[[#This Row],[Total Price]]+ROW()*0.0001</f>
        <v>2294.2586999999999</v>
      </c>
      <c r="B87" s="75">
        <f>products_parts[[#This Row],[cap_uf]]/1000000</f>
        <v>0.5</v>
      </c>
      <c r="C87" s="93">
        <f>products_parts[[#This Row],[Cap]]*products_parts[Total Parallel]/products_parts[Cells in Series]</f>
        <v>26.833333333333332</v>
      </c>
      <c r="D87" s="75">
        <f>PI()*((products_parts[[#This Row],[diameter]]/2)^2)*products_parts[[#This Row],[length]]/1000000</f>
        <v>1.3351768777756623E-3</v>
      </c>
      <c r="E87" s="75">
        <f>IF(products_parts[[#This Row],[Volume (L)]]=0,products_parts[[#This Row],[Height]]*products_parts[[#This Row],[length]]*products_parts[[#This Row],[Width Total]]/1000000,products_parts[[#This Row],[Volume (L)]])</f>
        <v>1.3351768777756623E-3</v>
      </c>
      <c r="F87" s="75">
        <f>products_parts[esr_dc]*products_parts[Cells in Series]/products_parts[Total Parallel]</f>
        <v>26.086956521739129</v>
      </c>
      <c r="G87" s="75">
        <f>IF(products_parts[[#This Row],[height2]]=0,products_parts[[#This Row],[length]]-products_parts[[#This Row],[lead_space_s]],products_parts[[#This Row],[height2]])</f>
        <v>5</v>
      </c>
      <c r="H87" s="85">
        <f>IF(products_parts[[#This Row],[thickness]]=0,IF(products_parts[[#This Row],[width]]=0,products_parts[[#This Row],[diameter]],products_parts[[#This Row],[width]]),products_parts[[#This Row],[thickness]])</f>
        <v>18</v>
      </c>
      <c r="I87" s="85">
        <f>IF(products_parts[[#This Row],[voltage]]=0,1000,ROUNDUP(WorkingV/products_parts[Operating Voltage (temp)],0))</f>
        <v>3</v>
      </c>
      <c r="J87" s="75">
        <f>ROUNDUP(Constant/(WorkingV-MinV)*((products_parts[esr_dc]/1000*products_parts[[#This Row],[Cap]])+Time)*products_parts[[#This Row],[Cells in Series]]/products_parts[[#This Row],[Cap]],0)</f>
        <v>161</v>
      </c>
      <c r="K87" s="78">
        <f>ROUNDUP(((Constant/WorkingV+Constant/MinV)/2)*(((products_parts[esr_dc]/1000*products_parts[Cap]))+Time)/(WorkingV-MinV)*(products_parts[[#This Row],[Cells in Series]]/products_parts[Cap]),0)</f>
        <v>15</v>
      </c>
      <c r="L87" s="79">
        <f>IF(Calculations!$J$2=1,products_parts[Cells in Parallel],products_parts[Parallel CP])</f>
        <v>161</v>
      </c>
      <c r="M87" s="75">
        <f>products_parts[[#This Row],[Cells in Series]]*products_parts[[#This Row],[Total Parallel]]</f>
        <v>483</v>
      </c>
      <c r="N87" s="76">
        <f>products_parts[[#This Row],[Price per Cell]]*products_parts[[#This Row],[Total '# of Caps]]</f>
        <v>2294.25</v>
      </c>
      <c r="O87" s="77">
        <f>products_parts[[#This Row],[Calculated Volume]]*products_parts[[#This Row],[Total '# of Caps]]</f>
        <v>0.64489043196564488</v>
      </c>
      <c r="P87" s="77">
        <f>products_parts[[#This Row],[weight]]*products_parts[[#This Row],[Total '# of Caps]]</f>
        <v>0</v>
      </c>
      <c r="Q87" s="78" t="b">
        <f>AND(products_parts[[#This Row],[Height]]&gt;MIN(Calculations!$K$2,Calculations!$L$2),products_parts[[#This Row],[Height]]&lt;MAX(Calculations!$K$2,Calculations!$L$2))</f>
        <v>1</v>
      </c>
      <c r="R87" s="86">
        <f>IF(ISNUMBER(SEARCH("TPL",products_parts[[#This Row],[series]])),1,IF(products_parts[[#This Row],[series]]="PC",1,IF(ISNUMBER(SEARCH("PBL",products_parts[[#This Row],[series]])),2,2)))</f>
        <v>2</v>
      </c>
      <c r="S87" s="78" t="str">
        <f>IF(TempRange=2,IF(products_parts[[#This Row],[voltage2]]=0,"0","1"),"1")</f>
        <v>1</v>
      </c>
      <c r="T87" s="79">
        <f>IF(TempRange=1,products_parts[voltage],products_parts[voltage2])</f>
        <v>5</v>
      </c>
      <c r="U87" s="79" t="str">
        <f>IF(ISNUMBER(SEARCH("PBL ",products_parts[series])),"PBL",products_parts[series])</f>
        <v>PBL-NB</v>
      </c>
      <c r="V87" s="87" t="s">
        <v>250</v>
      </c>
      <c r="W87" s="87" t="s">
        <v>252</v>
      </c>
      <c r="X87" s="68">
        <v>5</v>
      </c>
      <c r="Y87" s="68">
        <v>4.5999999999999996</v>
      </c>
      <c r="Z87" s="68">
        <v>500000</v>
      </c>
      <c r="AA87" s="68">
        <v>1400</v>
      </c>
      <c r="AB87" s="68">
        <v>6.0000000000000001E-3</v>
      </c>
      <c r="AC87" s="68">
        <v>10</v>
      </c>
      <c r="AD87" s="68">
        <v>17</v>
      </c>
      <c r="AE87" s="68">
        <v>18</v>
      </c>
      <c r="AF87" s="68">
        <v>0</v>
      </c>
      <c r="AG87" s="68">
        <v>0</v>
      </c>
      <c r="AH87" s="68">
        <v>12</v>
      </c>
      <c r="AI87" s="87" t="s">
        <v>37</v>
      </c>
      <c r="AJ87" s="87" t="s">
        <v>38</v>
      </c>
      <c r="AK87" s="68">
        <v>0</v>
      </c>
      <c r="AL87" s="68">
        <v>4.75</v>
      </c>
      <c r="AS87" s="38"/>
    </row>
    <row r="88" spans="1:45" s="37" customFormat="1" x14ac:dyDescent="0.25">
      <c r="A88" s="84">
        <f>products_parts[[#This Row],[Total Price]]+ROW()*0.0001</f>
        <v>1926.0088000000001</v>
      </c>
      <c r="B88" s="75">
        <f>products_parts[[#This Row],[cap_uf]]/1000000</f>
        <v>0.75</v>
      </c>
      <c r="C88" s="93">
        <f>products_parts[[#This Row],[Cap]]*products_parts[Total Parallel]/products_parts[Cells in Series]</f>
        <v>26.75</v>
      </c>
      <c r="D88" s="75">
        <f>PI()*((products_parts[[#This Row],[diameter]]/2)^2)*products_parts[[#This Row],[length]]/1000000</f>
        <v>1.4922565104551519E-3</v>
      </c>
      <c r="E88" s="75">
        <f>IF(products_parts[[#This Row],[Volume (L)]]=0,products_parts[[#This Row],[Height]]*products_parts[[#This Row],[length]]*products_parts[[#This Row],[Width Total]]/1000000,products_parts[[#This Row],[Volume (L)]])</f>
        <v>1.4922565104551519E-3</v>
      </c>
      <c r="F88" s="75">
        <f>products_parts[esr_dc]*products_parts[Cells in Series]/products_parts[Total Parallel]</f>
        <v>22.990654205607477</v>
      </c>
      <c r="G88" s="75">
        <f>IF(products_parts[[#This Row],[height2]]=0,products_parts[[#This Row],[length]]-products_parts[[#This Row],[lead_space_s]],products_parts[[#This Row],[height2]])</f>
        <v>7</v>
      </c>
      <c r="H88" s="85">
        <f>IF(products_parts[[#This Row],[thickness]]=0,IF(products_parts[[#This Row],[width]]=0,products_parts[[#This Row],[diameter]],products_parts[[#This Row],[width]]),products_parts[[#This Row],[thickness]])</f>
        <v>18</v>
      </c>
      <c r="I88" s="85">
        <f>IF(products_parts[[#This Row],[voltage]]=0,1000,ROUNDUP(WorkingV/products_parts[Operating Voltage (temp)],0))</f>
        <v>3</v>
      </c>
      <c r="J88" s="75">
        <f>ROUNDUP(Constant/(WorkingV-MinV)*((products_parts[esr_dc]/1000*products_parts[[#This Row],[Cap]])+Time)*products_parts[[#This Row],[Cells in Series]]/products_parts[[#This Row],[Cap]],0)</f>
        <v>107</v>
      </c>
      <c r="K88" s="78">
        <f>ROUNDUP(((Constant/WorkingV+Constant/MinV)/2)*(((products_parts[esr_dc]/1000*products_parts[Cap]))+Time)/(WorkingV-MinV)*(products_parts[[#This Row],[Cells in Series]]/products_parts[Cap]),0)</f>
        <v>10</v>
      </c>
      <c r="L88" s="79">
        <f>IF(Calculations!$J$2=1,products_parts[Cells in Parallel],products_parts[Parallel CP])</f>
        <v>107</v>
      </c>
      <c r="M88" s="75">
        <f>products_parts[[#This Row],[Cells in Series]]*products_parts[[#This Row],[Total Parallel]]</f>
        <v>321</v>
      </c>
      <c r="N88" s="76">
        <f>products_parts[[#This Row],[Price per Cell]]*products_parts[[#This Row],[Total '# of Caps]]</f>
        <v>1926</v>
      </c>
      <c r="O88" s="77">
        <f>products_parts[[#This Row],[Calculated Volume]]*products_parts[[#This Row],[Total '# of Caps]]</f>
        <v>0.47901433985610375</v>
      </c>
      <c r="P88" s="77">
        <f>products_parts[[#This Row],[weight]]*products_parts[[#This Row],[Total '# of Caps]]</f>
        <v>0</v>
      </c>
      <c r="Q88" s="78" t="b">
        <f>AND(products_parts[[#This Row],[Height]]&gt;MIN(Calculations!$K$2,Calculations!$L$2),products_parts[[#This Row],[Height]]&lt;MAX(Calculations!$K$2,Calculations!$L$2))</f>
        <v>1</v>
      </c>
      <c r="R88" s="86">
        <f>IF(ISNUMBER(SEARCH("TPL",products_parts[[#This Row],[series]])),1,IF(products_parts[[#This Row],[series]]="PC",1,IF(ISNUMBER(SEARCH("PBL",products_parts[[#This Row],[series]])),2,2)))</f>
        <v>2</v>
      </c>
      <c r="S88" s="78" t="str">
        <f>IF(TempRange=2,IF(products_parts[[#This Row],[voltage2]]=0,"0","1"),"1")</f>
        <v>1</v>
      </c>
      <c r="T88" s="78">
        <f>IF(TempRange=1,products_parts[voltage],products_parts[voltage2])</f>
        <v>5</v>
      </c>
      <c r="U88" s="79" t="str">
        <f>IF(ISNUMBER(SEARCH("PBL ",products_parts[series])),"PBL",products_parts[series])</f>
        <v>PBL-NB</v>
      </c>
      <c r="V88" s="87" t="s">
        <v>250</v>
      </c>
      <c r="W88" s="87" t="s">
        <v>253</v>
      </c>
      <c r="X88" s="68">
        <v>5</v>
      </c>
      <c r="Y88" s="68">
        <v>4.5999999999999996</v>
      </c>
      <c r="Z88" s="68">
        <v>750000</v>
      </c>
      <c r="AA88" s="68">
        <v>820</v>
      </c>
      <c r="AB88" s="68">
        <v>8.0000000000000002E-3</v>
      </c>
      <c r="AC88" s="68">
        <v>10</v>
      </c>
      <c r="AD88" s="68">
        <v>19</v>
      </c>
      <c r="AE88" s="68">
        <v>18</v>
      </c>
      <c r="AF88" s="68">
        <v>0</v>
      </c>
      <c r="AG88" s="68">
        <v>0</v>
      </c>
      <c r="AH88" s="68">
        <v>12</v>
      </c>
      <c r="AI88" s="87" t="s">
        <v>37</v>
      </c>
      <c r="AJ88" s="87" t="s">
        <v>38</v>
      </c>
      <c r="AK88" s="68">
        <v>0</v>
      </c>
      <c r="AL88" s="68">
        <v>6</v>
      </c>
      <c r="AS88" s="38"/>
    </row>
    <row r="89" spans="1:45" s="37" customFormat="1" x14ac:dyDescent="0.25">
      <c r="A89" s="84">
        <f>products_parts[[#This Row],[Total Price]]+ROW()*0.0001</f>
        <v>1640.2589</v>
      </c>
      <c r="B89" s="75">
        <f>products_parts[[#This Row],[cap_uf]]/1000000</f>
        <v>1</v>
      </c>
      <c r="C89" s="93">
        <f>products_parts[[#This Row],[Cap]]*products_parts[Total Parallel]/products_parts[Cells in Series]</f>
        <v>27</v>
      </c>
      <c r="D89" s="75">
        <f>PI()*((products_parts[[#This Row],[diameter]]/2)^2)*products_parts[[#This Row],[length]]/1000000</f>
        <v>1.6493361431346415E-3</v>
      </c>
      <c r="E89" s="75">
        <f>IF(products_parts[[#This Row],[Volume (L)]]=0,products_parts[[#This Row],[Height]]*products_parts[[#This Row],[length]]*products_parts[[#This Row],[Width Total]]/1000000,products_parts[[#This Row],[Volume (L)]])</f>
        <v>1.6493361431346415E-3</v>
      </c>
      <c r="F89" s="75">
        <f>products_parts[esr_dc]*products_parts[Cells in Series]/products_parts[Total Parallel]</f>
        <v>25.925925925925927</v>
      </c>
      <c r="G89" s="75">
        <f>IF(products_parts[[#This Row],[height2]]=0,products_parts[[#This Row],[length]]-products_parts[[#This Row],[lead_space_s]],products_parts[[#This Row],[height2]])</f>
        <v>9</v>
      </c>
      <c r="H89" s="85">
        <f>IF(products_parts[[#This Row],[thickness]]=0,IF(products_parts[[#This Row],[width]]=0,products_parts[[#This Row],[diameter]],products_parts[[#This Row],[width]]),products_parts[[#This Row],[thickness]])</f>
        <v>18</v>
      </c>
      <c r="I89" s="85">
        <f>IF(products_parts[[#This Row],[voltage]]=0,1000,ROUNDUP(WorkingV/products_parts[Operating Voltage (temp)],0))</f>
        <v>3</v>
      </c>
      <c r="J89" s="75">
        <f>ROUNDUP(Constant/(WorkingV-MinV)*((products_parts[esr_dc]/1000*products_parts[[#This Row],[Cap]])+Time)*products_parts[[#This Row],[Cells in Series]]/products_parts[[#This Row],[Cap]],0)</f>
        <v>81</v>
      </c>
      <c r="K89" s="78">
        <f>ROUNDUP(((Constant/WorkingV+Constant/MinV)/2)*(((products_parts[esr_dc]/1000*products_parts[Cap]))+Time)/(WorkingV-MinV)*(products_parts[[#This Row],[Cells in Series]]/products_parts[Cap]),0)</f>
        <v>8</v>
      </c>
      <c r="L89" s="79">
        <f>IF(Calculations!$J$2=1,products_parts[Cells in Parallel],products_parts[Parallel CP])</f>
        <v>81</v>
      </c>
      <c r="M89" s="75">
        <f>products_parts[[#This Row],[Cells in Series]]*products_parts[[#This Row],[Total Parallel]]</f>
        <v>243</v>
      </c>
      <c r="N89" s="76">
        <f>products_parts[[#This Row],[Price per Cell]]*products_parts[[#This Row],[Total '# of Caps]]</f>
        <v>1640.25</v>
      </c>
      <c r="O89" s="77">
        <f>products_parts[[#This Row],[Calculated Volume]]*products_parts[[#This Row],[Total '# of Caps]]</f>
        <v>0.40078868278171786</v>
      </c>
      <c r="P89" s="77">
        <f>products_parts[[#This Row],[weight]]*products_parts[[#This Row],[Total '# of Caps]]</f>
        <v>0</v>
      </c>
      <c r="Q89" s="78" t="b">
        <f>AND(products_parts[[#This Row],[Height]]&gt;MIN(Calculations!$K$2,Calculations!$L$2),products_parts[[#This Row],[Height]]&lt;MAX(Calculations!$K$2,Calculations!$L$2))</f>
        <v>1</v>
      </c>
      <c r="R89" s="86">
        <f>IF(ISNUMBER(SEARCH("TPL",products_parts[[#This Row],[series]])),1,IF(products_parts[[#This Row],[series]]="PC",1,IF(ISNUMBER(SEARCH("PBL",products_parts[[#This Row],[series]])),2,2)))</f>
        <v>2</v>
      </c>
      <c r="S89" s="86" t="str">
        <f>IF(TempRange=2,IF(products_parts[[#This Row],[voltage2]]=0,"0","1"),"1")</f>
        <v>1</v>
      </c>
      <c r="T89" s="79">
        <f>IF(TempRange=1,products_parts[voltage],products_parts[voltage2])</f>
        <v>5</v>
      </c>
      <c r="U89" s="79" t="str">
        <f>IF(ISNUMBER(SEARCH("PBL ",products_parts[series])),"PBL",products_parts[series])</f>
        <v>PBL-NB</v>
      </c>
      <c r="V89" s="87" t="s">
        <v>250</v>
      </c>
      <c r="W89" s="87" t="s">
        <v>254</v>
      </c>
      <c r="X89" s="68">
        <v>5</v>
      </c>
      <c r="Y89" s="68">
        <v>4.5999999999999996</v>
      </c>
      <c r="Z89" s="68">
        <v>1000000</v>
      </c>
      <c r="AA89" s="68">
        <v>700</v>
      </c>
      <c r="AB89" s="68">
        <v>0.01</v>
      </c>
      <c r="AC89" s="68">
        <v>10</v>
      </c>
      <c r="AD89" s="68">
        <v>21</v>
      </c>
      <c r="AE89" s="68">
        <v>18</v>
      </c>
      <c r="AF89" s="68">
        <v>0</v>
      </c>
      <c r="AG89" s="68">
        <v>0</v>
      </c>
      <c r="AH89" s="68">
        <v>12</v>
      </c>
      <c r="AI89" s="87" t="s">
        <v>37</v>
      </c>
      <c r="AJ89" s="87" t="s">
        <v>38</v>
      </c>
      <c r="AK89" s="68">
        <v>0</v>
      </c>
      <c r="AL89" s="68">
        <v>6.75</v>
      </c>
      <c r="AS89" s="38"/>
    </row>
    <row r="90" spans="1:45" s="37" customFormat="1" x14ac:dyDescent="0.25">
      <c r="A90" s="84">
        <f>products_parts[[#This Row],[Total Price]]+ROW()*0.0001</f>
        <v>1125.009</v>
      </c>
      <c r="B90" s="75">
        <f>products_parts[[#This Row],[cap_uf]]/1000000</f>
        <v>1.65</v>
      </c>
      <c r="C90" s="93">
        <f>products_parts[[#This Row],[Cap]]*products_parts[Total Parallel]/products_parts[Cells in Series]</f>
        <v>27.5</v>
      </c>
      <c r="D90" s="75">
        <f>PI()*((products_parts[[#This Row],[diameter]]/2)^2)*products_parts[[#This Row],[length]]/1000000</f>
        <v>2.8274333882308137E-3</v>
      </c>
      <c r="E90" s="75">
        <f>IF(products_parts[[#This Row],[Volume (L)]]=0,products_parts[[#This Row],[Height]]*products_parts[[#This Row],[length]]*products_parts[[#This Row],[Width Total]]/1000000,products_parts[[#This Row],[Volume (L)]])</f>
        <v>2.8274333882308137E-3</v>
      </c>
      <c r="F90" s="75">
        <f>products_parts[esr_dc]*products_parts[Cells in Series]/products_parts[Total Parallel]</f>
        <v>34.799999999999997</v>
      </c>
      <c r="G90" s="75">
        <f>IF(products_parts[[#This Row],[height2]]=0,products_parts[[#This Row],[length]]-products_parts[[#This Row],[lead_space_s]],products_parts[[#This Row],[height2]])</f>
        <v>13</v>
      </c>
      <c r="H90" s="85">
        <f>IF(products_parts[[#This Row],[thickness]]=0,IF(products_parts[[#This Row],[width]]=0,products_parts[[#This Row],[diameter]],products_parts[[#This Row],[width]]),products_parts[[#This Row],[thickness]])</f>
        <v>22</v>
      </c>
      <c r="I90" s="85">
        <f>IF(products_parts[[#This Row],[voltage]]=0,1000,ROUNDUP(WorkingV/products_parts[Operating Voltage (temp)],0))</f>
        <v>3</v>
      </c>
      <c r="J90" s="75">
        <f>ROUNDUP(Constant/(WorkingV-MinV)*((products_parts[esr_dc]/1000*products_parts[[#This Row],[Cap]])+Time)*products_parts[[#This Row],[Cells in Series]]/products_parts[[#This Row],[Cap]],0)</f>
        <v>50</v>
      </c>
      <c r="K90" s="79">
        <f>ROUNDUP(((Constant/WorkingV+Constant/MinV)/2)*(((products_parts[esr_dc]/1000*products_parts[Cap]))+Time)/(WorkingV-MinV)*(products_parts[[#This Row],[Cells in Series]]/products_parts[Cap]),0)</f>
        <v>5</v>
      </c>
      <c r="L90" s="79">
        <f>IF(Calculations!$J$2=1,products_parts[Cells in Parallel],products_parts[Parallel CP])</f>
        <v>50</v>
      </c>
      <c r="M90" s="75">
        <f>products_parts[[#This Row],[Cells in Series]]*products_parts[[#This Row],[Total Parallel]]</f>
        <v>150</v>
      </c>
      <c r="N90" s="76">
        <f>products_parts[[#This Row],[Price per Cell]]*products_parts[[#This Row],[Total '# of Caps]]</f>
        <v>1125</v>
      </c>
      <c r="O90" s="77">
        <f>products_parts[[#This Row],[Calculated Volume]]*products_parts[[#This Row],[Total '# of Caps]]</f>
        <v>0.42411500823462206</v>
      </c>
      <c r="P90" s="77">
        <f>products_parts[[#This Row],[weight]]*products_parts[[#This Row],[Total '# of Caps]]</f>
        <v>0</v>
      </c>
      <c r="Q90" s="78" t="b">
        <f>AND(products_parts[[#This Row],[Height]]&gt;MIN(Calculations!$K$2,Calculations!$L$2),products_parts[[#This Row],[Height]]&lt;MAX(Calculations!$K$2,Calculations!$L$2))</f>
        <v>1</v>
      </c>
      <c r="R90" s="86">
        <f>IF(ISNUMBER(SEARCH("TPL",products_parts[[#This Row],[series]])),1,IF(products_parts[[#This Row],[series]]="PC",1,IF(ISNUMBER(SEARCH("PBL",products_parts[[#This Row],[series]])),2,2)))</f>
        <v>2</v>
      </c>
      <c r="S90" s="86" t="str">
        <f>IF(TempRange=2,IF(products_parts[[#This Row],[voltage2]]=0,"0","1"),"1")</f>
        <v>1</v>
      </c>
      <c r="T90" s="79">
        <f>IF(TempRange=1,products_parts[voltage],products_parts[voltage2])</f>
        <v>5</v>
      </c>
      <c r="U90" s="79" t="str">
        <f>IF(ISNUMBER(SEARCH("PBL ",products_parts[series])),"PBL",products_parts[series])</f>
        <v>PBL-NB</v>
      </c>
      <c r="V90" s="87" t="s">
        <v>250</v>
      </c>
      <c r="W90" s="87" t="s">
        <v>255</v>
      </c>
      <c r="X90" s="68">
        <v>5</v>
      </c>
      <c r="Y90" s="68">
        <v>4.5999999999999996</v>
      </c>
      <c r="Z90" s="68">
        <v>1650000</v>
      </c>
      <c r="AA90" s="68">
        <v>580</v>
      </c>
      <c r="AB90" s="68">
        <v>1.2E-2</v>
      </c>
      <c r="AC90" s="68">
        <v>12</v>
      </c>
      <c r="AD90" s="68">
        <v>25</v>
      </c>
      <c r="AE90" s="68">
        <v>22</v>
      </c>
      <c r="AF90" s="68">
        <v>0</v>
      </c>
      <c r="AG90" s="68">
        <v>0</v>
      </c>
      <c r="AH90" s="68">
        <v>12</v>
      </c>
      <c r="AI90" s="87" t="s">
        <v>37</v>
      </c>
      <c r="AJ90" s="87" t="s">
        <v>38</v>
      </c>
      <c r="AK90" s="68">
        <v>0</v>
      </c>
      <c r="AL90" s="68">
        <v>7.5</v>
      </c>
      <c r="AS90" s="38"/>
    </row>
    <row r="91" spans="1:45" s="37" customFormat="1" x14ac:dyDescent="0.25">
      <c r="A91" s="84">
        <f>products_parts[[#This Row],[Total Price]]+ROW()*0.0001</f>
        <v>945.00909999999999</v>
      </c>
      <c r="B91" s="75">
        <f>products_parts[[#This Row],[cap_uf]]/1000000</f>
        <v>4</v>
      </c>
      <c r="C91" s="93">
        <f>products_parts[[#This Row],[Cap]]*products_parts[Total Parallel]/products_parts[Cells in Series]</f>
        <v>28</v>
      </c>
      <c r="D91" s="75">
        <f>PI()*((products_parts[[#This Row],[diameter]]/2)^2)*products_parts[[#This Row],[length]]/1000000</f>
        <v>3.3929200658769764E-3</v>
      </c>
      <c r="E91" s="75">
        <f>IF(products_parts[[#This Row],[Volume (L)]]=0,products_parts[[#This Row],[Height]]*products_parts[[#This Row],[length]]*products_parts[[#This Row],[Width Total]]/1000000,products_parts[[#This Row],[Volume (L)]])</f>
        <v>3.3929200658769764E-3</v>
      </c>
      <c r="F91" s="75">
        <f>products_parts[esr_dc]*products_parts[Cells in Series]/products_parts[Total Parallel]</f>
        <v>28.571428571428573</v>
      </c>
      <c r="G91" s="75">
        <f>IF(products_parts[[#This Row],[height2]]=0,products_parts[[#This Row],[length]]-products_parts[[#This Row],[lead_space_s]],products_parts[[#This Row],[height2]])</f>
        <v>14.6</v>
      </c>
      <c r="H91" s="85">
        <f>IF(products_parts[[#This Row],[thickness]]=0,IF(products_parts[[#This Row],[width]]=0,products_parts[[#This Row],[diameter]],products_parts[[#This Row],[width]]),products_parts[[#This Row],[thickness]])</f>
        <v>22</v>
      </c>
      <c r="I91" s="85">
        <f>IF(products_parts[[#This Row],[voltage]]=0,1000,ROUNDUP(WorkingV/products_parts[Operating Voltage (temp)],0))</f>
        <v>3</v>
      </c>
      <c r="J91" s="75">
        <f>ROUNDUP(Constant/(WorkingV-MinV)*((products_parts[esr_dc]/1000*products_parts[[#This Row],[Cap]])+Time)*products_parts[[#This Row],[Cells in Series]]/products_parts[[#This Row],[Cap]],0)</f>
        <v>21</v>
      </c>
      <c r="K91" s="78">
        <f>ROUNDUP(((Constant/WorkingV+Constant/MinV)/2)*(((products_parts[esr_dc]/1000*products_parts[Cap]))+Time)/(WorkingV-MinV)*(products_parts[[#This Row],[Cells in Series]]/products_parts[Cap]),0)</f>
        <v>2</v>
      </c>
      <c r="L91" s="79">
        <f>IF(Calculations!$J$2=1,products_parts[Cells in Parallel],products_parts[Parallel CP])</f>
        <v>21</v>
      </c>
      <c r="M91" s="75">
        <f>products_parts[[#This Row],[Cells in Series]]*products_parts[[#This Row],[Total Parallel]]</f>
        <v>63</v>
      </c>
      <c r="N91" s="76">
        <f>products_parts[[#This Row],[Price per Cell]]*products_parts[[#This Row],[Total '# of Caps]]</f>
        <v>945</v>
      </c>
      <c r="O91" s="77">
        <f>products_parts[[#This Row],[Calculated Volume]]*products_parts[[#This Row],[Total '# of Caps]]</f>
        <v>0.21375396415024953</v>
      </c>
      <c r="P91" s="77">
        <f>products_parts[[#This Row],[weight]]*products_parts[[#This Row],[Total '# of Caps]]</f>
        <v>0</v>
      </c>
      <c r="Q91" s="78" t="b">
        <f>AND(products_parts[[#This Row],[Height]]&gt;MIN(Calculations!$K$2,Calculations!$L$2),products_parts[[#This Row],[Height]]&lt;MAX(Calculations!$K$2,Calculations!$L$2))</f>
        <v>1</v>
      </c>
      <c r="R91" s="86">
        <f>IF(ISNUMBER(SEARCH("TPL",products_parts[[#This Row],[series]])),1,IF(products_parts[[#This Row],[series]]="PC",1,IF(ISNUMBER(SEARCH("PBL",products_parts[[#This Row],[series]])),2,2)))</f>
        <v>2</v>
      </c>
      <c r="S91" s="78" t="str">
        <f>IF(TempRange=2,IF(products_parts[[#This Row],[voltage2]]=0,"0","1"),"1")</f>
        <v>1</v>
      </c>
      <c r="T91" s="78">
        <f>IF(TempRange=1,products_parts[voltage],products_parts[voltage2])</f>
        <v>5</v>
      </c>
      <c r="U91" s="79" t="str">
        <f>IF(ISNUMBER(SEARCH("PBL ",products_parts[series])),"PBL",products_parts[series])</f>
        <v>PBL-NB</v>
      </c>
      <c r="V91" s="87" t="s">
        <v>250</v>
      </c>
      <c r="W91" s="87" t="s">
        <v>256</v>
      </c>
      <c r="X91" s="68">
        <v>5</v>
      </c>
      <c r="Y91" s="68">
        <v>4.5999999999999996</v>
      </c>
      <c r="Z91" s="68">
        <v>4000000</v>
      </c>
      <c r="AA91" s="68">
        <v>200</v>
      </c>
      <c r="AB91" s="68">
        <v>0.03</v>
      </c>
      <c r="AC91" s="68">
        <v>12</v>
      </c>
      <c r="AD91" s="68">
        <v>30</v>
      </c>
      <c r="AE91" s="68">
        <v>22</v>
      </c>
      <c r="AF91" s="68">
        <v>0</v>
      </c>
      <c r="AG91" s="68">
        <v>0</v>
      </c>
      <c r="AH91" s="68">
        <v>15.4</v>
      </c>
      <c r="AI91" s="87" t="s">
        <v>37</v>
      </c>
      <c r="AJ91" s="87" t="s">
        <v>38</v>
      </c>
      <c r="AK91" s="68">
        <v>0</v>
      </c>
      <c r="AL91" s="68">
        <v>15</v>
      </c>
      <c r="AS91" s="38"/>
    </row>
    <row r="92" spans="1:45" s="37" customFormat="1" x14ac:dyDescent="0.25">
      <c r="A92" s="84">
        <f>products_parts[[#This Row],[Total Price]]+ROW()*0.0001</f>
        <v>969.00919999999996</v>
      </c>
      <c r="B92" s="75">
        <f>products_parts[[#This Row],[cap_uf]]/1000000</f>
        <v>5</v>
      </c>
      <c r="C92" s="93">
        <f>products_parts[[#This Row],[Cap]]*products_parts[Total Parallel]/products_parts[Cells in Series]</f>
        <v>28.333333333333332</v>
      </c>
      <c r="D92" s="75">
        <f>PI()*((products_parts[[#This Row],[diameter]]/2)^2)*products_parts[[#This Row],[length]]/1000000</f>
        <v>3.9584067435231391E-3</v>
      </c>
      <c r="E92" s="75">
        <f>IF(products_parts[[#This Row],[Volume (L)]]=0,products_parts[[#This Row],[Height]]*products_parts[[#This Row],[length]]*products_parts[[#This Row],[Width Total]]/1000000,products_parts[[#This Row],[Volume (L)]])</f>
        <v>3.9584067435231391E-3</v>
      </c>
      <c r="F92" s="75">
        <f>products_parts[esr_dc]*products_parts[Cells in Series]/products_parts[Total Parallel]</f>
        <v>30</v>
      </c>
      <c r="G92" s="75">
        <f>IF(products_parts[[#This Row],[height2]]=0,products_parts[[#This Row],[length]]-products_parts[[#This Row],[lead_space_s]],products_parts[[#This Row],[height2]])</f>
        <v>19.600000000000001</v>
      </c>
      <c r="H92" s="85">
        <f>IF(products_parts[[#This Row],[thickness]]=0,IF(products_parts[[#This Row],[width]]=0,products_parts[[#This Row],[diameter]],products_parts[[#This Row],[width]]),products_parts[[#This Row],[thickness]])</f>
        <v>22</v>
      </c>
      <c r="I92" s="85">
        <f>IF(products_parts[[#This Row],[voltage]]=0,1000,ROUNDUP(WorkingV/products_parts[Operating Voltage (temp)],0))</f>
        <v>3</v>
      </c>
      <c r="J92" s="75">
        <f>ROUNDUP(Constant/(WorkingV-MinV)*((products_parts[esr_dc]/1000*products_parts[[#This Row],[Cap]])+Time)*products_parts[[#This Row],[Cells in Series]]/products_parts[[#This Row],[Cap]],0)</f>
        <v>17</v>
      </c>
      <c r="K92" s="78">
        <f>ROUNDUP(((Constant/WorkingV+Constant/MinV)/2)*(((products_parts[esr_dc]/1000*products_parts[Cap]))+Time)/(WorkingV-MinV)*(products_parts[[#This Row],[Cells in Series]]/products_parts[Cap]),0)</f>
        <v>2</v>
      </c>
      <c r="L92" s="79">
        <f>IF(Calculations!$J$2=1,products_parts[Cells in Parallel],products_parts[Parallel CP])</f>
        <v>17</v>
      </c>
      <c r="M92" s="75">
        <f>products_parts[[#This Row],[Cells in Series]]*products_parts[[#This Row],[Total Parallel]]</f>
        <v>51</v>
      </c>
      <c r="N92" s="76">
        <f>products_parts[[#This Row],[Price per Cell]]*products_parts[[#This Row],[Total '# of Caps]]</f>
        <v>969</v>
      </c>
      <c r="O92" s="77">
        <f>products_parts[[#This Row],[Calculated Volume]]*products_parts[[#This Row],[Total '# of Caps]]</f>
        <v>0.20187874391968011</v>
      </c>
      <c r="P92" s="77">
        <f>products_parts[[#This Row],[weight]]*products_parts[[#This Row],[Total '# of Caps]]</f>
        <v>0</v>
      </c>
      <c r="Q92" s="78" t="b">
        <f>AND(products_parts[[#This Row],[Height]]&gt;MIN(Calculations!$K$2,Calculations!$L$2),products_parts[[#This Row],[Height]]&lt;MAX(Calculations!$K$2,Calculations!$L$2))</f>
        <v>1</v>
      </c>
      <c r="R92" s="86">
        <f>IF(ISNUMBER(SEARCH("TPL",products_parts[[#This Row],[series]])),1,IF(products_parts[[#This Row],[series]]="PC",1,IF(ISNUMBER(SEARCH("PBL",products_parts[[#This Row],[series]])),2,2)))</f>
        <v>2</v>
      </c>
      <c r="S92" s="78" t="str">
        <f>IF(TempRange=2,IF(products_parts[[#This Row],[voltage2]]=0,"0","1"),"1")</f>
        <v>1</v>
      </c>
      <c r="T92" s="78">
        <f>IF(TempRange=1,products_parts[voltage],products_parts[voltage2])</f>
        <v>5</v>
      </c>
      <c r="U92" s="79" t="str">
        <f>IF(ISNUMBER(SEARCH("PBL ",products_parts[series])),"PBL",products_parts[series])</f>
        <v>PBL-NB</v>
      </c>
      <c r="V92" s="87" t="s">
        <v>250</v>
      </c>
      <c r="W92" s="87" t="s">
        <v>257</v>
      </c>
      <c r="X92" s="68">
        <v>5</v>
      </c>
      <c r="Y92" s="68">
        <v>4.5999999999999996</v>
      </c>
      <c r="Z92" s="68">
        <v>5000000</v>
      </c>
      <c r="AA92" s="68">
        <v>170</v>
      </c>
      <c r="AB92" s="68">
        <v>0.08</v>
      </c>
      <c r="AC92" s="68">
        <v>12</v>
      </c>
      <c r="AD92" s="68">
        <v>35</v>
      </c>
      <c r="AE92" s="68">
        <v>22</v>
      </c>
      <c r="AF92" s="68">
        <v>0</v>
      </c>
      <c r="AG92" s="68">
        <v>0</v>
      </c>
      <c r="AH92" s="68">
        <v>15.4</v>
      </c>
      <c r="AI92" s="87" t="s">
        <v>37</v>
      </c>
      <c r="AJ92" s="87" t="s">
        <v>38</v>
      </c>
      <c r="AK92" s="68">
        <v>0</v>
      </c>
      <c r="AL92" s="68">
        <v>19</v>
      </c>
      <c r="AS92" s="38"/>
    </row>
    <row r="93" spans="1:45" s="37" customFormat="1" x14ac:dyDescent="0.25">
      <c r="A93" s="84">
        <f>products_parts[[#This Row],[Total Price]]+ROW()*0.0001</f>
        <v>216.0093</v>
      </c>
      <c r="B93" s="75">
        <f>products_parts[[#This Row],[cap_uf]]/1000000</f>
        <v>11</v>
      </c>
      <c r="C93" s="93">
        <f>products_parts[[#This Row],[Cap]]*products_parts[Total Parallel]/products_parts[Cells in Series]</f>
        <v>29.333333333333332</v>
      </c>
      <c r="D93" s="75">
        <f>PI()*((products_parts[[#This Row],[diameter]]/2)^2)*products_parts[[#This Row],[length]]/1000000</f>
        <v>5.5108443882486199E-3</v>
      </c>
      <c r="E93" s="75">
        <f>IF(products_parts[[#This Row],[Volume (L)]]=0,products_parts[[#This Row],[Height]]*products_parts[[#This Row],[length]]*products_parts[[#This Row],[Width Total]]/1000000,products_parts[[#This Row],[Volume (L)]])</f>
        <v>5.5108443882486199E-3</v>
      </c>
      <c r="F93" s="75">
        <f>products_parts[esr_dc]*products_parts[Cells in Series]/products_parts[Total Parallel]</f>
        <v>33.75</v>
      </c>
      <c r="G93" s="75">
        <f>IF(products_parts[[#This Row],[height2]]=0,products_parts[[#This Row],[length]]-products_parts[[#This Row],[lead_space_s]],products_parts[[#This Row],[height2]])</f>
        <v>20.3</v>
      </c>
      <c r="H93" s="85">
        <f>IF(products_parts[[#This Row],[thickness]]=0,IF(products_parts[[#This Row],[width]]=0,products_parts[[#This Row],[diameter]],products_parts[[#This Row],[width]]),products_parts[[#This Row],[thickness]])</f>
        <v>26</v>
      </c>
      <c r="I93" s="85">
        <f>IF(products_parts[[#This Row],[voltage]]=0,1000,ROUNDUP(WorkingV/products_parts[Operating Voltage (temp)],0))</f>
        <v>3</v>
      </c>
      <c r="J93" s="75">
        <f>ROUNDUP(Constant/(WorkingV-MinV)*((products_parts[esr_dc]/1000*products_parts[[#This Row],[Cap]])+Time)*products_parts[[#This Row],[Cells in Series]]/products_parts[[#This Row],[Cap]],0)</f>
        <v>8</v>
      </c>
      <c r="K93" s="78">
        <f>ROUNDUP(((Constant/WorkingV+Constant/MinV)/2)*(((products_parts[esr_dc]/1000*products_parts[Cap]))+Time)/(WorkingV-MinV)*(products_parts[[#This Row],[Cells in Series]]/products_parts[Cap]),0)</f>
        <v>1</v>
      </c>
      <c r="L93" s="79">
        <f>IF(Calculations!$J$2=1,products_parts[Cells in Parallel],products_parts[Parallel CP])</f>
        <v>8</v>
      </c>
      <c r="M93" s="75">
        <f>products_parts[[#This Row],[Cells in Series]]*products_parts[[#This Row],[Total Parallel]]</f>
        <v>24</v>
      </c>
      <c r="N93" s="76">
        <f>products_parts[[#This Row],[Price per Cell]]*products_parts[[#This Row],[Total '# of Caps]]</f>
        <v>216</v>
      </c>
      <c r="O93" s="77">
        <f>products_parts[[#This Row],[Calculated Volume]]*products_parts[[#This Row],[Total '# of Caps]]</f>
        <v>0.13226026531796686</v>
      </c>
      <c r="P93" s="77">
        <f>products_parts[[#This Row],[weight]]*products_parts[[#This Row],[Total '# of Caps]]</f>
        <v>0</v>
      </c>
      <c r="Q93" s="78" t="b">
        <f>AND(products_parts[[#This Row],[Height]]&gt;MIN(Calculations!$K$2,Calculations!$L$2),products_parts[[#This Row],[Height]]&lt;MAX(Calculations!$K$2,Calculations!$L$2))</f>
        <v>1</v>
      </c>
      <c r="R93" s="86">
        <f>IF(ISNUMBER(SEARCH("TPL",products_parts[[#This Row],[series]])),1,IF(products_parts[[#This Row],[series]]="PC",1,IF(ISNUMBER(SEARCH("PBL",products_parts[[#This Row],[series]])),2,2)))</f>
        <v>2</v>
      </c>
      <c r="S93" s="78" t="str">
        <f>IF(TempRange=2,IF(products_parts[[#This Row],[voltage2]]=0,"0","1"),"1")</f>
        <v>1</v>
      </c>
      <c r="T93" s="79">
        <f>IF(TempRange=1,products_parts[voltage],products_parts[voltage2])</f>
        <v>5</v>
      </c>
      <c r="U93" s="79" t="str">
        <f>IF(ISNUMBER(SEARCH("PBL ",products_parts[series])),"PBL",products_parts[series])</f>
        <v>PBL-NB</v>
      </c>
      <c r="V93" s="87" t="s">
        <v>250</v>
      </c>
      <c r="W93" s="87" t="s">
        <v>258</v>
      </c>
      <c r="X93" s="68">
        <v>5</v>
      </c>
      <c r="Y93" s="68">
        <v>4.5999999999999996</v>
      </c>
      <c r="Z93" s="68">
        <v>11000000</v>
      </c>
      <c r="AA93" s="68">
        <v>90</v>
      </c>
      <c r="AB93" s="68">
        <v>1.4E-2</v>
      </c>
      <c r="AC93" s="68">
        <v>13.5</v>
      </c>
      <c r="AD93" s="68">
        <v>38.5</v>
      </c>
      <c r="AE93" s="68">
        <v>26</v>
      </c>
      <c r="AF93" s="68">
        <v>0</v>
      </c>
      <c r="AG93" s="68">
        <v>0</v>
      </c>
      <c r="AH93" s="68">
        <v>18.2</v>
      </c>
      <c r="AI93" s="87" t="s">
        <v>37</v>
      </c>
      <c r="AJ93" s="87" t="s">
        <v>38</v>
      </c>
      <c r="AK93" s="68">
        <v>0</v>
      </c>
      <c r="AL93" s="68">
        <v>9</v>
      </c>
      <c r="AS93" s="38"/>
    </row>
    <row r="94" spans="1:45" s="37" customFormat="1" x14ac:dyDescent="0.25">
      <c r="A94" s="84">
        <f>products_parts[[#This Row],[Total Price]]+ROW()*0.0001</f>
        <v>180.0094</v>
      </c>
      <c r="B94" s="75">
        <f>products_parts[[#This Row],[cap_uf]]/1000000</f>
        <v>15</v>
      </c>
      <c r="C94" s="93">
        <f>products_parts[[#This Row],[Cap]]*products_parts[Total Parallel]/products_parts[Cells in Series]</f>
        <v>30</v>
      </c>
      <c r="D94" s="75">
        <f>PI()*((products_parts[[#This Row],[diameter]]/2)^2)*products_parts[[#This Row],[length]]/1000000</f>
        <v>8.2982224701461643E-3</v>
      </c>
      <c r="E94" s="75">
        <f>IF(products_parts[[#This Row],[Volume (L)]]=0,products_parts[[#This Row],[Height]]*products_parts[[#This Row],[length]]*products_parts[[#This Row],[Width Total]]/1000000,products_parts[[#This Row],[Volume (L)]])</f>
        <v>8.2982224701461643E-3</v>
      </c>
      <c r="F94" s="75">
        <f>products_parts[esr_dc]*products_parts[Cells in Series]/products_parts[Total Parallel]</f>
        <v>35</v>
      </c>
      <c r="G94" s="75">
        <f>IF(products_parts[[#This Row],[height2]]=0,products_parts[[#This Row],[length]]-products_parts[[#This Row],[lead_space_s]],products_parts[[#This Row],[height2]])</f>
        <v>10.399999999999999</v>
      </c>
      <c r="H94" s="85">
        <f>IF(products_parts[[#This Row],[thickness]]=0,IF(products_parts[[#This Row],[width]]=0,products_parts[[#This Row],[diameter]],products_parts[[#This Row],[width]]),products_parts[[#This Row],[thickness]])</f>
        <v>34</v>
      </c>
      <c r="I94" s="85">
        <f>IF(products_parts[[#This Row],[voltage]]=0,1000,ROUNDUP(WorkingV/products_parts[Operating Voltage (temp)],0))</f>
        <v>3</v>
      </c>
      <c r="J94" s="75">
        <f>ROUNDUP(Constant/(WorkingV-MinV)*((products_parts[esr_dc]/1000*products_parts[[#This Row],[Cap]])+Time)*products_parts[[#This Row],[Cells in Series]]/products_parts[[#This Row],[Cap]],0)</f>
        <v>6</v>
      </c>
      <c r="K94" s="78">
        <f>ROUNDUP(((Constant/WorkingV+Constant/MinV)/2)*(((products_parts[esr_dc]/1000*products_parts[Cap]))+Time)/(WorkingV-MinV)*(products_parts[[#This Row],[Cells in Series]]/products_parts[Cap]),0)</f>
        <v>1</v>
      </c>
      <c r="L94" s="79">
        <f>IF(Calculations!$J$2=1,products_parts[Cells in Parallel],products_parts[Parallel CP])</f>
        <v>6</v>
      </c>
      <c r="M94" s="75">
        <f>products_parts[[#This Row],[Cells in Series]]*products_parts[[#This Row],[Total Parallel]]</f>
        <v>18</v>
      </c>
      <c r="N94" s="76">
        <f>products_parts[[#This Row],[Price per Cell]]*products_parts[[#This Row],[Total '# of Caps]]</f>
        <v>180</v>
      </c>
      <c r="O94" s="77">
        <f>products_parts[[#This Row],[Calculated Volume]]*products_parts[[#This Row],[Total '# of Caps]]</f>
        <v>0.14936800446263096</v>
      </c>
      <c r="P94" s="77">
        <f>products_parts[[#This Row],[weight]]*products_parts[[#This Row],[Total '# of Caps]]</f>
        <v>0</v>
      </c>
      <c r="Q94" s="78" t="b">
        <f>AND(products_parts[[#This Row],[Height]]&gt;MIN(Calculations!$K$2,Calculations!$L$2),products_parts[[#This Row],[Height]]&lt;MAX(Calculations!$K$2,Calculations!$L$2))</f>
        <v>1</v>
      </c>
      <c r="R94" s="86">
        <f>IF(ISNUMBER(SEARCH("TPL",products_parts[[#This Row],[series]])),1,IF(products_parts[[#This Row],[series]]="PC",1,IF(ISNUMBER(SEARCH("PBL",products_parts[[#This Row],[series]])),2,2)))</f>
        <v>2</v>
      </c>
      <c r="S94" s="86" t="str">
        <f>IF(TempRange=2,IF(products_parts[[#This Row],[voltage2]]=0,"0","1"),"1")</f>
        <v>1</v>
      </c>
      <c r="T94" s="79">
        <f>IF(TempRange=1,products_parts[voltage],products_parts[voltage2])</f>
        <v>5</v>
      </c>
      <c r="U94" s="79" t="str">
        <f>IF(ISNUMBER(SEARCH("PBL ",products_parts[series])),"PBL",products_parts[series])</f>
        <v>PBL-NB</v>
      </c>
      <c r="V94" s="87" t="s">
        <v>250</v>
      </c>
      <c r="W94" s="87" t="s">
        <v>259</v>
      </c>
      <c r="X94" s="68">
        <v>5</v>
      </c>
      <c r="Y94" s="68">
        <v>4.5999999999999996</v>
      </c>
      <c r="Z94" s="68">
        <v>15000000</v>
      </c>
      <c r="AA94" s="68">
        <v>70</v>
      </c>
      <c r="AB94" s="68">
        <v>1.4999999999999999E-2</v>
      </c>
      <c r="AC94" s="68">
        <v>17.5</v>
      </c>
      <c r="AD94" s="68">
        <v>34.5</v>
      </c>
      <c r="AE94" s="68">
        <v>34</v>
      </c>
      <c r="AF94" s="68">
        <v>0</v>
      </c>
      <c r="AG94" s="68">
        <v>0</v>
      </c>
      <c r="AH94" s="68">
        <v>24.1</v>
      </c>
      <c r="AI94" s="87" t="s">
        <v>37</v>
      </c>
      <c r="AJ94" s="87" t="s">
        <v>38</v>
      </c>
      <c r="AK94" s="68">
        <v>0</v>
      </c>
      <c r="AL94" s="68">
        <v>10</v>
      </c>
      <c r="AS94" s="38"/>
    </row>
    <row r="95" spans="1:45" s="37" customFormat="1" x14ac:dyDescent="0.25">
      <c r="A95" s="84">
        <f>products_parts[[#This Row],[Total Price]]+ROW()*0.0001</f>
        <v>1260.0094999999999</v>
      </c>
      <c r="B95" s="75">
        <f>products_parts[[#This Row],[cap_uf]]/1000000</f>
        <v>2</v>
      </c>
      <c r="C95" s="93">
        <f>products_parts[[#This Row],[Cap]]*products_parts[Total Parallel]/products_parts[Cells in Series]</f>
        <v>28</v>
      </c>
      <c r="D95" s="75">
        <f>PI()*((products_parts[[#This Row],[diameter]]/2)^2)*products_parts[[#This Row],[length]]/1000000</f>
        <v>2.8274333882308137E-3</v>
      </c>
      <c r="E95" s="75">
        <f>IF(products_parts[[#This Row],[Volume (L)]]=0,products_parts[[#This Row],[Height]]*products_parts[[#This Row],[length]]*products_parts[[#This Row],[Width Total]]/1000000,products_parts[[#This Row],[Volume (L)]])</f>
        <v>2.8274333882308137E-3</v>
      </c>
      <c r="F95" s="75">
        <f>products_parts[esr_dc]*products_parts[Cells in Series]/products_parts[Total Parallel]</f>
        <v>35.714285714285715</v>
      </c>
      <c r="G95" s="75">
        <f>IF(products_parts[[#This Row],[height2]]=0,products_parts[[#This Row],[length]]-products_parts[[#This Row],[lead_space_s]],products_parts[[#This Row],[height2]])</f>
        <v>9.6</v>
      </c>
      <c r="H95" s="85">
        <f>IF(products_parts[[#This Row],[thickness]]=0,IF(products_parts[[#This Row],[width]]=0,products_parts[[#This Row],[diameter]],products_parts[[#This Row],[width]]),products_parts[[#This Row],[thickness]])</f>
        <v>22</v>
      </c>
      <c r="I95" s="85">
        <f>IF(products_parts[[#This Row],[voltage]]=0,1000,ROUNDUP(WorkingV/products_parts[Operating Voltage (temp)],0))</f>
        <v>3</v>
      </c>
      <c r="J95" s="75">
        <f>ROUNDUP(Constant/(WorkingV-MinV)*((products_parts[esr_dc]/1000*products_parts[[#This Row],[Cap]])+Time)*products_parts[[#This Row],[Cells in Series]]/products_parts[[#This Row],[Cap]],0)</f>
        <v>42</v>
      </c>
      <c r="K95" s="78">
        <f>ROUNDUP(((Constant/WorkingV+Constant/MinV)/2)*(((products_parts[esr_dc]/1000*products_parts[Cap]))+Time)/(WorkingV-MinV)*(products_parts[[#This Row],[Cells in Series]]/products_parts[Cap]),0)</f>
        <v>4</v>
      </c>
      <c r="L95" s="79">
        <f>IF(Calculations!$J$2=1,products_parts[Cells in Parallel],products_parts[Parallel CP])</f>
        <v>42</v>
      </c>
      <c r="M95" s="75">
        <f>products_parts[[#This Row],[Cells in Series]]*products_parts[[#This Row],[Total Parallel]]</f>
        <v>126</v>
      </c>
      <c r="N95" s="76">
        <f>products_parts[[#This Row],[Price per Cell]]*products_parts[[#This Row],[Total '# of Caps]]</f>
        <v>1260</v>
      </c>
      <c r="O95" s="77">
        <f>products_parts[[#This Row],[Calculated Volume]]*products_parts[[#This Row],[Total '# of Caps]]</f>
        <v>0.3562566069170825</v>
      </c>
      <c r="P95" s="77">
        <f>products_parts[[#This Row],[weight]]*products_parts[[#This Row],[Total '# of Caps]]</f>
        <v>0</v>
      </c>
      <c r="Q95" s="78" t="b">
        <f>AND(products_parts[[#This Row],[Height]]&gt;MIN(Calculations!$K$2,Calculations!$L$2),products_parts[[#This Row],[Height]]&lt;MAX(Calculations!$K$2,Calculations!$L$2))</f>
        <v>1</v>
      </c>
      <c r="R95" s="86">
        <f>IF(ISNUMBER(SEARCH("TPL",products_parts[[#This Row],[series]])),1,IF(products_parts[[#This Row],[series]]="PC",1,IF(ISNUMBER(SEARCH("PBL",products_parts[[#This Row],[series]])),2,2)))</f>
        <v>2</v>
      </c>
      <c r="S95" s="78" t="str">
        <f>IF(TempRange=2,IF(products_parts[[#This Row],[voltage2]]=0,"0","1"),"1")</f>
        <v>1</v>
      </c>
      <c r="T95" s="79">
        <f>IF(TempRange=1,products_parts[voltage],products_parts[voltage2])</f>
        <v>5</v>
      </c>
      <c r="U95" s="79" t="str">
        <f>IF(ISNUMBER(SEARCH("PBL ",products_parts[series])),"PBL",products_parts[series])</f>
        <v>PBL-NB</v>
      </c>
      <c r="V95" s="87" t="s">
        <v>250</v>
      </c>
      <c r="W95" s="87" t="s">
        <v>260</v>
      </c>
      <c r="X95" s="68">
        <v>5</v>
      </c>
      <c r="Y95" s="68">
        <v>4.5999999999999996</v>
      </c>
      <c r="Z95" s="68">
        <v>2000000</v>
      </c>
      <c r="AA95" s="68">
        <v>500</v>
      </c>
      <c r="AB95" s="68">
        <v>1.4999999999999999E-2</v>
      </c>
      <c r="AC95" s="68">
        <v>12</v>
      </c>
      <c r="AD95" s="68">
        <v>25</v>
      </c>
      <c r="AE95" s="68">
        <v>22</v>
      </c>
      <c r="AF95" s="68">
        <v>0</v>
      </c>
      <c r="AG95" s="68">
        <v>0</v>
      </c>
      <c r="AH95" s="68">
        <v>15.4</v>
      </c>
      <c r="AI95" s="87" t="s">
        <v>37</v>
      </c>
      <c r="AJ95" s="87" t="s">
        <v>38</v>
      </c>
      <c r="AK95" s="68">
        <v>0</v>
      </c>
      <c r="AL95" s="68">
        <v>10</v>
      </c>
      <c r="AS95" s="38"/>
    </row>
    <row r="96" spans="1:45" s="37" customFormat="1" x14ac:dyDescent="0.25">
      <c r="A96" s="84">
        <f>products_parts[[#This Row],[Total Price]]+ROW()*0.0001</f>
        <v>1039.5096000000001</v>
      </c>
      <c r="B96" s="75">
        <f>products_parts[[#This Row],[cap_uf]]/1000000</f>
        <v>2.5</v>
      </c>
      <c r="C96" s="93">
        <f>products_parts[[#This Row],[Cap]]*products_parts[Total Parallel]/products_parts[Cells in Series]</f>
        <v>27.5</v>
      </c>
      <c r="D96" s="75">
        <f>PI()*((products_parts[[#This Row],[diameter]]/2)^2)*products_parts[[#This Row],[length]]/1000000</f>
        <v>2.8274333882308137E-3</v>
      </c>
      <c r="E96" s="75">
        <f>IF(products_parts[[#This Row],[Volume (L)]]=0,products_parts[[#This Row],[Height]]*products_parts[[#This Row],[length]]*products_parts[[#This Row],[Width Total]]/1000000,products_parts[[#This Row],[Volume (L)]])</f>
        <v>2.8274333882308137E-3</v>
      </c>
      <c r="F96" s="75">
        <f>products_parts[esr_dc]*products_parts[Cells in Series]/products_parts[Total Parallel]</f>
        <v>29.09090909090909</v>
      </c>
      <c r="G96" s="75">
        <f>IF(products_parts[[#This Row],[height2]]=0,products_parts[[#This Row],[length]]-products_parts[[#This Row],[lead_space_s]],products_parts[[#This Row],[height2]])</f>
        <v>9.6</v>
      </c>
      <c r="H96" s="85">
        <f>IF(products_parts[[#This Row],[thickness]]=0,IF(products_parts[[#This Row],[width]]=0,products_parts[[#This Row],[diameter]],products_parts[[#This Row],[width]]),products_parts[[#This Row],[thickness]])</f>
        <v>22</v>
      </c>
      <c r="I96" s="85">
        <f>IF(products_parts[[#This Row],[voltage]]=0,1000,ROUNDUP(WorkingV/products_parts[Operating Voltage (temp)],0))</f>
        <v>3</v>
      </c>
      <c r="J96" s="75">
        <f>ROUNDUP(Constant/(WorkingV-MinV)*((products_parts[esr_dc]/1000*products_parts[[#This Row],[Cap]])+Time)*products_parts[[#This Row],[Cells in Series]]/products_parts[[#This Row],[Cap]],0)</f>
        <v>33</v>
      </c>
      <c r="K96" s="79">
        <f>ROUNDUP(((Constant/WorkingV+Constant/MinV)/2)*(((products_parts[esr_dc]/1000*products_parts[Cap]))+Time)/(WorkingV-MinV)*(products_parts[[#This Row],[Cells in Series]]/products_parts[Cap]),0)</f>
        <v>3</v>
      </c>
      <c r="L96" s="79">
        <f>IF(Calculations!$J$2=1,products_parts[Cells in Parallel],products_parts[Parallel CP])</f>
        <v>33</v>
      </c>
      <c r="M96" s="75">
        <f>products_parts[[#This Row],[Cells in Series]]*products_parts[[#This Row],[Total Parallel]]</f>
        <v>99</v>
      </c>
      <c r="N96" s="76">
        <f>products_parts[[#This Row],[Price per Cell]]*products_parts[[#This Row],[Total '# of Caps]]</f>
        <v>1039.5</v>
      </c>
      <c r="O96" s="77">
        <f>products_parts[[#This Row],[Calculated Volume]]*products_parts[[#This Row],[Total '# of Caps]]</f>
        <v>0.27991590543485056</v>
      </c>
      <c r="P96" s="77">
        <f>products_parts[[#This Row],[weight]]*products_parts[[#This Row],[Total '# of Caps]]</f>
        <v>0</v>
      </c>
      <c r="Q96" s="78" t="b">
        <f>AND(products_parts[[#This Row],[Height]]&gt;MIN(Calculations!$K$2,Calculations!$L$2),products_parts[[#This Row],[Height]]&lt;MAX(Calculations!$K$2,Calculations!$L$2))</f>
        <v>1</v>
      </c>
      <c r="R96" s="86">
        <f>IF(ISNUMBER(SEARCH("TPL",products_parts[[#This Row],[series]])),1,IF(products_parts[[#This Row],[series]]="PC",1,IF(ISNUMBER(SEARCH("PBL",products_parts[[#This Row],[series]])),2,2)))</f>
        <v>2</v>
      </c>
      <c r="S96" s="78" t="str">
        <f>IF(TempRange=2,IF(products_parts[[#This Row],[voltage2]]=0,"0","1"),"1")</f>
        <v>1</v>
      </c>
      <c r="T96" s="78">
        <f>IF(TempRange=1,products_parts[voltage],products_parts[voltage2])</f>
        <v>5</v>
      </c>
      <c r="U96" s="79" t="str">
        <f>IF(ISNUMBER(SEARCH("PBL ",products_parts[series])),"PBL",products_parts[series])</f>
        <v>PBL-NB</v>
      </c>
      <c r="V96" s="87" t="s">
        <v>250</v>
      </c>
      <c r="W96" s="87" t="s">
        <v>261</v>
      </c>
      <c r="X96" s="68">
        <v>5</v>
      </c>
      <c r="Y96" s="68">
        <v>4.5999999999999996</v>
      </c>
      <c r="Z96" s="68">
        <v>2500000</v>
      </c>
      <c r="AA96" s="68">
        <v>320</v>
      </c>
      <c r="AB96" s="68">
        <v>0.02</v>
      </c>
      <c r="AC96" s="68">
        <v>12</v>
      </c>
      <c r="AD96" s="68">
        <v>25</v>
      </c>
      <c r="AE96" s="68">
        <v>22</v>
      </c>
      <c r="AF96" s="68">
        <v>0</v>
      </c>
      <c r="AG96" s="68">
        <v>0</v>
      </c>
      <c r="AH96" s="68">
        <v>15.4</v>
      </c>
      <c r="AI96" s="87" t="s">
        <v>37</v>
      </c>
      <c r="AJ96" s="87" t="s">
        <v>38</v>
      </c>
      <c r="AK96" s="68">
        <v>0</v>
      </c>
      <c r="AL96" s="68">
        <v>10.5</v>
      </c>
      <c r="AS96" s="38"/>
    </row>
    <row r="97" spans="1:45" s="37" customFormat="1" x14ac:dyDescent="0.25">
      <c r="A97" s="84">
        <f>products_parts[[#This Row],[Total Price]]+ROW()*0.0001</f>
        <v>951.75969999999995</v>
      </c>
      <c r="B97" s="75">
        <f>products_parts[[#This Row],[cap_uf]]/1000000</f>
        <v>3</v>
      </c>
      <c r="C97" s="93">
        <f>products_parts[[#This Row],[Cap]]*products_parts[Total Parallel]/products_parts[Cells in Series]</f>
        <v>27</v>
      </c>
      <c r="D97" s="75">
        <f>PI()*((products_parts[[#This Row],[diameter]]/2)^2)*products_parts[[#This Row],[length]]/1000000</f>
        <v>2.8274333882308137E-3</v>
      </c>
      <c r="E97" s="75">
        <f>IF(products_parts[[#This Row],[Volume (L)]]=0,products_parts[[#This Row],[Height]]*products_parts[[#This Row],[length]]*products_parts[[#This Row],[Width Total]]/1000000,products_parts[[#This Row],[Volume (L)]])</f>
        <v>2.8274333882308137E-3</v>
      </c>
      <c r="F97" s="75">
        <f>products_parts[esr_dc]*products_parts[Cells in Series]/products_parts[Total Parallel]</f>
        <v>28.888888888888889</v>
      </c>
      <c r="G97" s="75">
        <f>IF(products_parts[[#This Row],[height2]]=0,products_parts[[#This Row],[length]]-products_parts[[#This Row],[lead_space_s]],products_parts[[#This Row],[height2]])</f>
        <v>9.6</v>
      </c>
      <c r="H97" s="85">
        <f>IF(products_parts[[#This Row],[thickness]]=0,IF(products_parts[[#This Row],[width]]=0,products_parts[[#This Row],[diameter]],products_parts[[#This Row],[width]]),products_parts[[#This Row],[thickness]])</f>
        <v>22</v>
      </c>
      <c r="I97" s="85">
        <f>IF(products_parts[[#This Row],[voltage]]=0,1000,ROUNDUP(WorkingV/products_parts[Operating Voltage (temp)],0))</f>
        <v>3</v>
      </c>
      <c r="J97" s="75">
        <f>ROUNDUP(Constant/(WorkingV-MinV)*((products_parts[esr_dc]/1000*products_parts[[#This Row],[Cap]])+Time)*products_parts[[#This Row],[Cells in Series]]/products_parts[[#This Row],[Cap]],0)</f>
        <v>27</v>
      </c>
      <c r="K97" s="79">
        <f>ROUNDUP(((Constant/WorkingV+Constant/MinV)/2)*(((products_parts[esr_dc]/1000*products_parts[Cap]))+Time)/(WorkingV-MinV)*(products_parts[[#This Row],[Cells in Series]]/products_parts[Cap]),0)</f>
        <v>3</v>
      </c>
      <c r="L97" s="79">
        <f>IF(Calculations!$J$2=1,products_parts[Cells in Parallel],products_parts[Parallel CP])</f>
        <v>27</v>
      </c>
      <c r="M97" s="75">
        <f>products_parts[[#This Row],[Cells in Series]]*products_parts[[#This Row],[Total Parallel]]</f>
        <v>81</v>
      </c>
      <c r="N97" s="76">
        <f>products_parts[[#This Row],[Price per Cell]]*products_parts[[#This Row],[Total '# of Caps]]</f>
        <v>951.75</v>
      </c>
      <c r="O97" s="77">
        <f>products_parts[[#This Row],[Calculated Volume]]*products_parts[[#This Row],[Total '# of Caps]]</f>
        <v>0.22902210444669591</v>
      </c>
      <c r="P97" s="77">
        <f>products_parts[[#This Row],[weight]]*products_parts[[#This Row],[Total '# of Caps]]</f>
        <v>0</v>
      </c>
      <c r="Q97" s="78" t="b">
        <f>AND(products_parts[[#This Row],[Height]]&gt;MIN(Calculations!$K$2,Calculations!$L$2),products_parts[[#This Row],[Height]]&lt;MAX(Calculations!$K$2,Calculations!$L$2))</f>
        <v>1</v>
      </c>
      <c r="R97" s="86">
        <f>IF(ISNUMBER(SEARCH("TPL",products_parts[[#This Row],[series]])),1,IF(products_parts[[#This Row],[series]]="PC",1,IF(ISNUMBER(SEARCH("PBL",products_parts[[#This Row],[series]])),2,2)))</f>
        <v>2</v>
      </c>
      <c r="S97" s="78" t="str">
        <f>IF(TempRange=2,IF(products_parts[[#This Row],[voltage2]]=0,"0","1"),"1")</f>
        <v>1</v>
      </c>
      <c r="T97" s="78">
        <f>IF(TempRange=1,products_parts[voltage],products_parts[voltage2])</f>
        <v>5</v>
      </c>
      <c r="U97" s="79" t="str">
        <f>IF(ISNUMBER(SEARCH("PBL ",products_parts[series])),"PBL",products_parts[series])</f>
        <v>PBL-NB</v>
      </c>
      <c r="V97" s="87" t="s">
        <v>250</v>
      </c>
      <c r="W97" s="87" t="s">
        <v>262</v>
      </c>
      <c r="X97" s="68">
        <v>5</v>
      </c>
      <c r="Y97" s="68">
        <v>4.5999999999999996</v>
      </c>
      <c r="Z97" s="68">
        <v>3000000</v>
      </c>
      <c r="AA97" s="68">
        <v>260</v>
      </c>
      <c r="AB97" s="68">
        <v>0.03</v>
      </c>
      <c r="AC97" s="68">
        <v>12</v>
      </c>
      <c r="AD97" s="68">
        <v>25</v>
      </c>
      <c r="AE97" s="68">
        <v>22</v>
      </c>
      <c r="AF97" s="68">
        <v>0</v>
      </c>
      <c r="AG97" s="68">
        <v>0</v>
      </c>
      <c r="AH97" s="68">
        <v>15.4</v>
      </c>
      <c r="AI97" s="87" t="s">
        <v>37</v>
      </c>
      <c r="AJ97" s="87" t="s">
        <v>38</v>
      </c>
      <c r="AK97" s="68">
        <v>0</v>
      </c>
      <c r="AL97" s="68">
        <v>11.75</v>
      </c>
      <c r="AS97" s="38"/>
    </row>
    <row r="98" spans="1:45" s="37" customFormat="1" x14ac:dyDescent="0.25">
      <c r="A98" s="84">
        <f>products_parts[[#This Row],[Total Price]]+ROW()*0.0001</f>
        <v>60.009799999999998</v>
      </c>
      <c r="B98" s="75">
        <f>products_parts[[#This Row],[cap_uf]]/1000000</f>
        <v>100</v>
      </c>
      <c r="C98" s="93">
        <f>products_parts[[#This Row],[Cap]]*products_parts[Total Parallel]/products_parts[Cells in Series]</f>
        <v>50</v>
      </c>
      <c r="D98" s="75">
        <f>PI()*((products_parts[[#This Row],[diameter]]/2)^2)*products_parts[[#This Row],[length]]/1000000</f>
        <v>1.7486104709880792E-2</v>
      </c>
      <c r="E98" s="75">
        <f>IF(products_parts[[#This Row],[Volume (L)]]=0,products_parts[[#This Row],[Height]]*products_parts[[#This Row],[length]]*products_parts[[#This Row],[Width Total]]/1000000,products_parts[[#This Row],[Volume (L)]])</f>
        <v>1.7486104709880792E-2</v>
      </c>
      <c r="F98" s="75">
        <f>products_parts[esr_dc]*products_parts[Cells in Series]/products_parts[Total Parallel]</f>
        <v>24</v>
      </c>
      <c r="G98" s="75">
        <f>IF(products_parts[[#This Row],[height2]]=0,products_parts[[#This Row],[length]]-products_parts[[#This Row],[lead_space_s]],products_parts[[#This Row],[height2]])</f>
        <v>46</v>
      </c>
      <c r="H98" s="85">
        <f>IF(products_parts[[#This Row],[thickness]]=0,IF(products_parts[[#This Row],[width]]=0,products_parts[[#This Row],[diameter]],products_parts[[#This Row],[width]]),products_parts[[#This Row],[thickness]])</f>
        <v>22</v>
      </c>
      <c r="I98" s="85">
        <f>IF(products_parts[[#This Row],[voltage]]=0,1000,ROUNDUP(WorkingV/products_parts[Operating Voltage (temp)],0))</f>
        <v>4</v>
      </c>
      <c r="J98" s="75">
        <f>ROUNDUP(Constant/(WorkingV-MinV)*((products_parts[esr_dc]/1000*products_parts[[#This Row],[Cap]])+Time)*products_parts[[#This Row],[Cells in Series]]/products_parts[[#This Row],[Cap]],0)</f>
        <v>2</v>
      </c>
      <c r="K98" s="78">
        <f>ROUNDUP(((Constant/WorkingV+Constant/MinV)/2)*(((products_parts[esr_dc]/1000*products_parts[Cap]))+Time)/(WorkingV-MinV)*(products_parts[[#This Row],[Cells in Series]]/products_parts[Cap]),0)</f>
        <v>1</v>
      </c>
      <c r="L98" s="79">
        <f>IF(Calculations!$J$2=1,products_parts[Cells in Parallel],products_parts[Parallel CP])</f>
        <v>2</v>
      </c>
      <c r="M98" s="75">
        <f>products_parts[[#This Row],[Cells in Series]]*products_parts[[#This Row],[Total Parallel]]</f>
        <v>8</v>
      </c>
      <c r="N98" s="76">
        <f>products_parts[[#This Row],[Price per Cell]]*products_parts[[#This Row],[Total '# of Caps]]</f>
        <v>60</v>
      </c>
      <c r="O98" s="77">
        <f>products_parts[[#This Row],[Calculated Volume]]*products_parts[[#This Row],[Total '# of Caps]]</f>
        <v>0.13988883767904634</v>
      </c>
      <c r="P98" s="77">
        <f>products_parts[[#This Row],[weight]]*products_parts[[#This Row],[Total '# of Caps]]</f>
        <v>184</v>
      </c>
      <c r="Q98" s="78" t="b">
        <f>AND(products_parts[[#This Row],[Height]]&gt;MIN(Calculations!$K$2,Calculations!$L$2),products_parts[[#This Row],[Height]]&lt;MAX(Calculations!$K$2,Calculations!$L$2))</f>
        <v>1</v>
      </c>
      <c r="R98" s="86">
        <f>IF(ISNUMBER(SEARCH("TPL",products_parts[[#This Row],[series]])),1,IF(products_parts[[#This Row],[series]]="PC",1,IF(ISNUMBER(SEARCH("PBL",products_parts[[#This Row],[series]])),2,2)))</f>
        <v>1</v>
      </c>
      <c r="S98" s="78" t="str">
        <f>IF(TempRange=2,IF(products_parts[[#This Row],[voltage2]]=0,"0","1"),"1")</f>
        <v>1</v>
      </c>
      <c r="T98" s="78">
        <f>IF(TempRange=1,products_parts[voltage],products_parts[voltage2])</f>
        <v>3</v>
      </c>
      <c r="U98" s="79" t="str">
        <f>IF(ISNUMBER(SEARCH("PBL ",products_parts[series])),"PBL",products_parts[series])</f>
        <v>TPLH Snap-in</v>
      </c>
      <c r="V98" s="87" t="s">
        <v>222</v>
      </c>
      <c r="W98" s="87" t="s">
        <v>223</v>
      </c>
      <c r="X98" s="68">
        <v>3</v>
      </c>
      <c r="Y98" s="68">
        <v>2.5</v>
      </c>
      <c r="Z98" s="68">
        <v>100000000</v>
      </c>
      <c r="AA98" s="68">
        <v>12</v>
      </c>
      <c r="AB98" s="68">
        <v>0.3</v>
      </c>
      <c r="AC98" s="68">
        <v>22</v>
      </c>
      <c r="AD98" s="68">
        <v>46</v>
      </c>
      <c r="AE98" s="68">
        <v>0</v>
      </c>
      <c r="AF98" s="68">
        <v>0</v>
      </c>
      <c r="AG98" s="68">
        <v>0</v>
      </c>
      <c r="AH98" s="68">
        <v>0</v>
      </c>
      <c r="AI98" s="87" t="s">
        <v>37</v>
      </c>
      <c r="AJ98" s="87" t="s">
        <v>38</v>
      </c>
      <c r="AK98" s="68">
        <v>23</v>
      </c>
      <c r="AL98" s="68">
        <v>7.5</v>
      </c>
      <c r="AS98" s="38"/>
    </row>
    <row r="99" spans="1:45" s="37" customFormat="1" x14ac:dyDescent="0.25">
      <c r="A99" s="84">
        <f>products_parts[[#This Row],[Total Price]]+ROW()*0.0001</f>
        <v>42.009900000000002</v>
      </c>
      <c r="B99" s="75">
        <f>products_parts[[#This Row],[cap_uf]]/1000000</f>
        <v>350</v>
      </c>
      <c r="C99" s="93">
        <f>products_parts[[#This Row],[Cap]]*products_parts[Total Parallel]/products_parts[Cells in Series]</f>
        <v>87.5</v>
      </c>
      <c r="D99" s="75">
        <f>PI()*((products_parts[[#This Row],[diameter]]/2)^2)*products_parts[[#This Row],[length]]/1000000</f>
        <v>5.8688877759874324E-2</v>
      </c>
      <c r="E99" s="75">
        <f>IF(products_parts[[#This Row],[Volume (L)]]=0,products_parts[[#This Row],[Height]]*products_parts[[#This Row],[length]]*products_parts[[#This Row],[Width Total]]/1000000,products_parts[[#This Row],[Volume (L)]])</f>
        <v>5.8688877759874324E-2</v>
      </c>
      <c r="F99" s="75">
        <f>products_parts[esr_dc]*products_parts[Cells in Series]/products_parts[Total Parallel]</f>
        <v>16</v>
      </c>
      <c r="G99" s="75">
        <f>IF(products_parts[[#This Row],[height2]]=0,products_parts[[#This Row],[length]]-products_parts[[#This Row],[lead_space_s]],products_parts[[#This Row],[height2]])</f>
        <v>61</v>
      </c>
      <c r="H99" s="85">
        <f>IF(products_parts[[#This Row],[thickness]]=0,IF(products_parts[[#This Row],[width]]=0,products_parts[[#This Row],[diameter]],products_parts[[#This Row],[width]]),products_parts[[#This Row],[thickness]])</f>
        <v>35</v>
      </c>
      <c r="I99" s="85">
        <f>IF(products_parts[[#This Row],[voltage]]=0,1000,ROUNDUP(WorkingV/products_parts[Operating Voltage (temp)],0))</f>
        <v>4</v>
      </c>
      <c r="J99" s="75">
        <f>ROUNDUP(Constant/(WorkingV-MinV)*((products_parts[esr_dc]/1000*products_parts[[#This Row],[Cap]])+Time)*products_parts[[#This Row],[Cells in Series]]/products_parts[[#This Row],[Cap]],0)</f>
        <v>1</v>
      </c>
      <c r="K99" s="79">
        <f>ROUNDUP(((Constant/WorkingV+Constant/MinV)/2)*(((products_parts[esr_dc]/1000*products_parts[Cap]))+Time)/(WorkingV-MinV)*(products_parts[[#This Row],[Cells in Series]]/products_parts[Cap]),0)</f>
        <v>1</v>
      </c>
      <c r="L99" s="79">
        <f>IF(Calculations!$J$2=1,products_parts[Cells in Parallel],products_parts[Parallel CP])</f>
        <v>1</v>
      </c>
      <c r="M99" s="75">
        <f>products_parts[[#This Row],[Cells in Series]]*products_parts[[#This Row],[Total Parallel]]</f>
        <v>4</v>
      </c>
      <c r="N99" s="76">
        <f>products_parts[[#This Row],[Price per Cell]]*products_parts[[#This Row],[Total '# of Caps]]</f>
        <v>42</v>
      </c>
      <c r="O99" s="77">
        <f>products_parts[[#This Row],[Calculated Volume]]*products_parts[[#This Row],[Total '# of Caps]]</f>
        <v>0.23475551103949729</v>
      </c>
      <c r="P99" s="77">
        <f>products_parts[[#This Row],[weight]]*products_parts[[#This Row],[Total '# of Caps]]</f>
        <v>288</v>
      </c>
      <c r="Q99" s="78" t="b">
        <f>AND(products_parts[[#This Row],[Height]]&gt;MIN(Calculations!$K$2,Calculations!$L$2),products_parts[[#This Row],[Height]]&lt;MAX(Calculations!$K$2,Calculations!$L$2))</f>
        <v>1</v>
      </c>
      <c r="R99" s="86">
        <f>IF(ISNUMBER(SEARCH("TPL",products_parts[[#This Row],[series]])),1,IF(products_parts[[#This Row],[series]]="PC",1,IF(ISNUMBER(SEARCH("PBL",products_parts[[#This Row],[series]])),2,2)))</f>
        <v>1</v>
      </c>
      <c r="S99" s="78" t="str">
        <f>IF(TempRange=2,IF(products_parts[[#This Row],[voltage2]]=0,"0","1"),"1")</f>
        <v>1</v>
      </c>
      <c r="T99" s="79">
        <f>IF(TempRange=1,products_parts[voltage],products_parts[voltage2])</f>
        <v>3</v>
      </c>
      <c r="U99" s="79" t="str">
        <f>IF(ISNUMBER(SEARCH("PBL ",products_parts[series])),"PBL",products_parts[series])</f>
        <v>TPLH Snap-in</v>
      </c>
      <c r="V99" s="87" t="s">
        <v>222</v>
      </c>
      <c r="W99" s="87" t="s">
        <v>224</v>
      </c>
      <c r="X99" s="68">
        <v>3</v>
      </c>
      <c r="Y99" s="68">
        <v>2.5</v>
      </c>
      <c r="Z99" s="68">
        <v>350000000</v>
      </c>
      <c r="AA99" s="68">
        <v>4</v>
      </c>
      <c r="AB99" s="68">
        <v>0.8</v>
      </c>
      <c r="AC99" s="68">
        <v>35</v>
      </c>
      <c r="AD99" s="68">
        <v>61</v>
      </c>
      <c r="AE99" s="68">
        <v>0</v>
      </c>
      <c r="AF99" s="68">
        <v>0</v>
      </c>
      <c r="AG99" s="68">
        <v>0</v>
      </c>
      <c r="AH99" s="68">
        <v>0</v>
      </c>
      <c r="AI99" s="87" t="s">
        <v>37</v>
      </c>
      <c r="AJ99" s="87" t="s">
        <v>38</v>
      </c>
      <c r="AK99" s="68">
        <v>72</v>
      </c>
      <c r="AL99" s="68">
        <v>10.5</v>
      </c>
      <c r="AS99" s="38"/>
    </row>
    <row r="100" spans="1:45" s="37" customFormat="1" x14ac:dyDescent="0.25">
      <c r="A100" s="84">
        <f>products_parts[[#This Row],[Total Price]]+ROW()*0.0001</f>
        <v>44.01</v>
      </c>
      <c r="B100" s="75">
        <f>products_parts[[#This Row],[cap_uf]]/1000000</f>
        <v>400</v>
      </c>
      <c r="C100" s="93">
        <f>products_parts[[#This Row],[Cap]]*products_parts[Total Parallel]/products_parts[Cells in Series]</f>
        <v>100</v>
      </c>
      <c r="D100" s="75">
        <f>PI()*((products_parts[[#This Row],[diameter]]/2)^2)*products_parts[[#This Row],[length]]/1000000</f>
        <v>6.3499441510683693E-2</v>
      </c>
      <c r="E100" s="75">
        <f>IF(products_parts[[#This Row],[Volume (L)]]=0,products_parts[[#This Row],[Height]]*products_parts[[#This Row],[length]]*products_parts[[#This Row],[Width Total]]/1000000,products_parts[[#This Row],[Volume (L)]])</f>
        <v>6.3499441510683693E-2</v>
      </c>
      <c r="F100" s="75">
        <f>products_parts[esr_dc]*products_parts[Cells in Series]/products_parts[Total Parallel]</f>
        <v>14.4</v>
      </c>
      <c r="G100" s="75">
        <f>IF(products_parts[[#This Row],[height2]]=0,products_parts[[#This Row],[length]]-products_parts[[#This Row],[lead_space_s]],products_parts[[#This Row],[height2]])</f>
        <v>66</v>
      </c>
      <c r="H100" s="85">
        <f>IF(products_parts[[#This Row],[thickness]]=0,IF(products_parts[[#This Row],[width]]=0,products_parts[[#This Row],[diameter]],products_parts[[#This Row],[width]]),products_parts[[#This Row],[thickness]])</f>
        <v>35</v>
      </c>
      <c r="I100" s="85">
        <f>IF(products_parts[[#This Row],[voltage]]=0,1000,ROUNDUP(WorkingV/products_parts[Operating Voltage (temp)],0))</f>
        <v>4</v>
      </c>
      <c r="J100" s="75">
        <f>ROUNDUP(Constant/(WorkingV-MinV)*((products_parts[esr_dc]/1000*products_parts[[#This Row],[Cap]])+Time)*products_parts[[#This Row],[Cells in Series]]/products_parts[[#This Row],[Cap]],0)</f>
        <v>1</v>
      </c>
      <c r="K100" s="78">
        <f>ROUNDUP(((Constant/WorkingV+Constant/MinV)/2)*(((products_parts[esr_dc]/1000*products_parts[Cap]))+Time)/(WorkingV-MinV)*(products_parts[[#This Row],[Cells in Series]]/products_parts[Cap]),0)</f>
        <v>1</v>
      </c>
      <c r="L100" s="79">
        <f>IF(Calculations!$J$2=1,products_parts[Cells in Parallel],products_parts[Parallel CP])</f>
        <v>1</v>
      </c>
      <c r="M100" s="75">
        <f>products_parts[[#This Row],[Cells in Series]]*products_parts[[#This Row],[Total Parallel]]</f>
        <v>4</v>
      </c>
      <c r="N100" s="76">
        <f>products_parts[[#This Row],[Price per Cell]]*products_parts[[#This Row],[Total '# of Caps]]</f>
        <v>44</v>
      </c>
      <c r="O100" s="77">
        <f>products_parts[[#This Row],[Calculated Volume]]*products_parts[[#This Row],[Total '# of Caps]]</f>
        <v>0.25399776604273477</v>
      </c>
      <c r="P100" s="77">
        <f>products_parts[[#This Row],[weight]]*products_parts[[#This Row],[Total '# of Caps]]</f>
        <v>320</v>
      </c>
      <c r="Q100" s="78" t="b">
        <f>AND(products_parts[[#This Row],[Height]]&gt;MIN(Calculations!$K$2,Calculations!$L$2),products_parts[[#This Row],[Height]]&lt;MAX(Calculations!$K$2,Calculations!$L$2))</f>
        <v>1</v>
      </c>
      <c r="R100" s="86">
        <f>IF(ISNUMBER(SEARCH("TPL",products_parts[[#This Row],[series]])),1,IF(products_parts[[#This Row],[series]]="PC",1,IF(ISNUMBER(SEARCH("PBL",products_parts[[#This Row],[series]])),2,2)))</f>
        <v>1</v>
      </c>
      <c r="S100" s="78" t="str">
        <f>IF(TempRange=2,IF(products_parts[[#This Row],[voltage2]]=0,"0","1"),"1")</f>
        <v>1</v>
      </c>
      <c r="T100" s="78">
        <f>IF(TempRange=1,products_parts[voltage],products_parts[voltage2])</f>
        <v>3</v>
      </c>
      <c r="U100" s="79" t="str">
        <f>IF(ISNUMBER(SEARCH("PBL ",products_parts[series])),"PBL",products_parts[series])</f>
        <v>TPLH Snap-in</v>
      </c>
      <c r="V100" s="87" t="s">
        <v>222</v>
      </c>
      <c r="W100" s="87" t="s">
        <v>225</v>
      </c>
      <c r="X100" s="68">
        <v>3</v>
      </c>
      <c r="Y100" s="68">
        <v>2.5</v>
      </c>
      <c r="Z100" s="68">
        <v>400000000</v>
      </c>
      <c r="AA100" s="68">
        <v>3.6</v>
      </c>
      <c r="AB100" s="68">
        <v>0.9</v>
      </c>
      <c r="AC100" s="68">
        <v>35</v>
      </c>
      <c r="AD100" s="68">
        <v>66</v>
      </c>
      <c r="AE100" s="68">
        <v>0</v>
      </c>
      <c r="AF100" s="68">
        <v>0</v>
      </c>
      <c r="AG100" s="68">
        <v>0</v>
      </c>
      <c r="AH100" s="68">
        <v>0</v>
      </c>
      <c r="AI100" s="87" t="s">
        <v>37</v>
      </c>
      <c r="AJ100" s="87" t="s">
        <v>38</v>
      </c>
      <c r="AK100" s="68">
        <v>80</v>
      </c>
      <c r="AL100" s="68">
        <v>11</v>
      </c>
      <c r="AS100" s="38"/>
    </row>
    <row r="101" spans="1:45" s="37" customFormat="1" x14ac:dyDescent="0.25">
      <c r="A101" s="84">
        <f>products_parts[[#This Row],[Total Price]]+ROW()*0.0001</f>
        <v>46.010100000000001</v>
      </c>
      <c r="B101" s="75">
        <f>products_parts[[#This Row],[cap_uf]]/1000000</f>
        <v>450</v>
      </c>
      <c r="C101" s="93">
        <f>products_parts[[#This Row],[Cap]]*products_parts[Total Parallel]/products_parts[Cells in Series]</f>
        <v>112.5</v>
      </c>
      <c r="D101" s="75">
        <f>PI()*((products_parts[[#This Row],[diameter]]/2)^2)*products_parts[[#This Row],[length]]/1000000</f>
        <v>6.8310005261493056E-2</v>
      </c>
      <c r="E101" s="75">
        <f>IF(products_parts[[#This Row],[Volume (L)]]=0,products_parts[[#This Row],[Height]]*products_parts[[#This Row],[length]]*products_parts[[#This Row],[Width Total]]/1000000,products_parts[[#This Row],[Volume (L)]])</f>
        <v>6.8310005261493056E-2</v>
      </c>
      <c r="F101" s="75">
        <f>products_parts[esr_dc]*products_parts[Cells in Series]/products_parts[Total Parallel]</f>
        <v>14.4</v>
      </c>
      <c r="G101" s="75">
        <f>IF(products_parts[[#This Row],[height2]]=0,products_parts[[#This Row],[length]]-products_parts[[#This Row],[lead_space_s]],products_parts[[#This Row],[height2]])</f>
        <v>71</v>
      </c>
      <c r="H101" s="85">
        <f>IF(products_parts[[#This Row],[thickness]]=0,IF(products_parts[[#This Row],[width]]=0,products_parts[[#This Row],[diameter]],products_parts[[#This Row],[width]]),products_parts[[#This Row],[thickness]])</f>
        <v>35</v>
      </c>
      <c r="I101" s="85">
        <f>IF(products_parts[[#This Row],[voltage]]=0,1000,ROUNDUP(WorkingV/products_parts[Operating Voltage (temp)],0))</f>
        <v>4</v>
      </c>
      <c r="J101" s="75">
        <f>ROUNDUP(Constant/(WorkingV-MinV)*((products_parts[esr_dc]/1000*products_parts[[#This Row],[Cap]])+Time)*products_parts[[#This Row],[Cells in Series]]/products_parts[[#This Row],[Cap]],0)</f>
        <v>1</v>
      </c>
      <c r="K101" s="78">
        <f>ROUNDUP(((Constant/WorkingV+Constant/MinV)/2)*(((products_parts[esr_dc]/1000*products_parts[Cap]))+Time)/(WorkingV-MinV)*(products_parts[[#This Row],[Cells in Series]]/products_parts[Cap]),0)</f>
        <v>1</v>
      </c>
      <c r="L101" s="79">
        <f>IF(Calculations!$J$2=1,products_parts[Cells in Parallel],products_parts[Parallel CP])</f>
        <v>1</v>
      </c>
      <c r="M101" s="75">
        <f>products_parts[[#This Row],[Cells in Series]]*products_parts[[#This Row],[Total Parallel]]</f>
        <v>4</v>
      </c>
      <c r="N101" s="76">
        <f>products_parts[[#This Row],[Price per Cell]]*products_parts[[#This Row],[Total '# of Caps]]</f>
        <v>46</v>
      </c>
      <c r="O101" s="77">
        <f>products_parts[[#This Row],[Calculated Volume]]*products_parts[[#This Row],[Total '# of Caps]]</f>
        <v>0.27324002104597223</v>
      </c>
      <c r="P101" s="77">
        <f>products_parts[[#This Row],[weight]]*products_parts[[#This Row],[Total '# of Caps]]</f>
        <v>352</v>
      </c>
      <c r="Q101" s="78" t="b">
        <f>AND(products_parts[[#This Row],[Height]]&gt;MIN(Calculations!$K$2,Calculations!$L$2),products_parts[[#This Row],[Height]]&lt;MAX(Calculations!$K$2,Calculations!$L$2))</f>
        <v>1</v>
      </c>
      <c r="R101" s="86">
        <f>IF(ISNUMBER(SEARCH("TPL",products_parts[[#This Row],[series]])),1,IF(products_parts[[#This Row],[series]]="PC",1,IF(ISNUMBER(SEARCH("PBL",products_parts[[#This Row],[series]])),2,2)))</f>
        <v>1</v>
      </c>
      <c r="S101" s="86" t="str">
        <f>IF(TempRange=2,IF(products_parts[[#This Row],[voltage2]]=0,"0","1"),"1")</f>
        <v>1</v>
      </c>
      <c r="T101" s="79">
        <f>IF(TempRange=1,products_parts[voltage],products_parts[voltage2])</f>
        <v>3</v>
      </c>
      <c r="U101" s="79" t="str">
        <f>IF(ISNUMBER(SEARCH("PBL ",products_parts[series])),"PBL",products_parts[series])</f>
        <v>TPLH Snap-in</v>
      </c>
      <c r="V101" s="87" t="s">
        <v>222</v>
      </c>
      <c r="W101" s="87" t="s">
        <v>226</v>
      </c>
      <c r="X101" s="68">
        <v>3</v>
      </c>
      <c r="Y101" s="68">
        <v>2.5</v>
      </c>
      <c r="Z101" s="68">
        <v>450000000</v>
      </c>
      <c r="AA101" s="68">
        <v>3.6</v>
      </c>
      <c r="AB101" s="68">
        <v>1</v>
      </c>
      <c r="AC101" s="68">
        <v>35</v>
      </c>
      <c r="AD101" s="68">
        <v>71</v>
      </c>
      <c r="AE101" s="68">
        <v>0</v>
      </c>
      <c r="AF101" s="68">
        <v>0</v>
      </c>
      <c r="AG101" s="68">
        <v>0</v>
      </c>
      <c r="AH101" s="68">
        <v>0</v>
      </c>
      <c r="AI101" s="87" t="s">
        <v>37</v>
      </c>
      <c r="AJ101" s="87" t="s">
        <v>38</v>
      </c>
      <c r="AK101" s="68">
        <v>88</v>
      </c>
      <c r="AL101" s="68">
        <v>11.5</v>
      </c>
      <c r="AS101" s="38"/>
    </row>
    <row r="102" spans="1:45" s="37" customFormat="1" x14ac:dyDescent="0.25">
      <c r="A102" s="84">
        <f>products_parts[[#This Row],[Total Price]]+ROW()*0.0001</f>
        <v>180.0102</v>
      </c>
      <c r="B102" s="75">
        <f>products_parts[[#This Row],[cap_uf]]/1000000</f>
        <v>650</v>
      </c>
      <c r="C102" s="93">
        <f>products_parts[[#This Row],[Cap]]*products_parts[Total Parallel]/products_parts[Cells in Series]</f>
        <v>162.5</v>
      </c>
      <c r="D102" s="75">
        <f>PI()*((products_parts[[#This Row],[diameter]]/2)^2)*products_parts[[#This Row],[length]]/1000000</f>
        <v>0.14561281949388691</v>
      </c>
      <c r="E102" s="75">
        <f>IF(products_parts[[#This Row],[Volume (L)]]=0,products_parts[[#This Row],[Height]]*products_parts[[#This Row],[length]]*products_parts[[#This Row],[Width Total]]/1000000,products_parts[[#This Row],[Volume (L)]])</f>
        <v>0.14561281949388691</v>
      </c>
      <c r="F102" s="75">
        <f>products_parts[esr_dc]*products_parts[Cells in Series]/products_parts[Total Parallel]</f>
        <v>2.4</v>
      </c>
      <c r="G102" s="75">
        <f>IF(products_parts[[#This Row],[height2]]=0,products_parts[[#This Row],[length]]-products_parts[[#This Row],[lead_space_s]],products_parts[[#This Row],[height2]])</f>
        <v>51.5</v>
      </c>
      <c r="H102" s="85">
        <f>IF(products_parts[[#This Row],[thickness]]=0,IF(products_parts[[#This Row],[width]]=0,products_parts[[#This Row],[diameter]],products_parts[[#This Row],[width]]),products_parts[[#This Row],[thickness]])</f>
        <v>60</v>
      </c>
      <c r="I102" s="85">
        <f>IF(products_parts[[#This Row],[voltage]]=0,1000,ROUNDUP(WorkingV/products_parts[Operating Voltage (temp)],0))</f>
        <v>4</v>
      </c>
      <c r="J102" s="75">
        <f>ROUNDUP(Constant/(WorkingV-MinV)*((products_parts[esr_dc]/1000*products_parts[[#This Row],[Cap]])+Time)*products_parts[[#This Row],[Cells in Series]]/products_parts[[#This Row],[Cap]],0)</f>
        <v>1</v>
      </c>
      <c r="K102" s="79">
        <f>ROUNDUP(((Constant/WorkingV+Constant/MinV)/2)*(((products_parts[esr_dc]/1000*products_parts[Cap]))+Time)/(WorkingV-MinV)*(products_parts[[#This Row],[Cells in Series]]/products_parts[Cap]),0)</f>
        <v>1</v>
      </c>
      <c r="L102" s="79">
        <f>IF(Calculations!$J$2=1,products_parts[Cells in Parallel],products_parts[Parallel CP])</f>
        <v>1</v>
      </c>
      <c r="M102" s="75">
        <f>products_parts[[#This Row],[Cells in Series]]*products_parts[[#This Row],[Total Parallel]]</f>
        <v>4</v>
      </c>
      <c r="N102" s="76">
        <f>products_parts[[#This Row],[Price per Cell]]*products_parts[[#This Row],[Total '# of Caps]]</f>
        <v>180</v>
      </c>
      <c r="O102" s="77">
        <f>products_parts[[#This Row],[Calculated Volume]]*products_parts[[#This Row],[Total '# of Caps]]</f>
        <v>0.58245127797554763</v>
      </c>
      <c r="P102" s="77">
        <f>products_parts[[#This Row],[weight]]*products_parts[[#This Row],[Total '# of Caps]]</f>
        <v>840</v>
      </c>
      <c r="Q102" s="78" t="b">
        <f>AND(products_parts[[#This Row],[Height]]&gt;MIN(Calculations!$K$2,Calculations!$L$2),products_parts[[#This Row],[Height]]&lt;MAX(Calculations!$K$2,Calculations!$L$2))</f>
        <v>1</v>
      </c>
      <c r="R102" s="86">
        <f>IF(ISNUMBER(SEARCH("TPL",products_parts[[#This Row],[series]])),1,IF(products_parts[[#This Row],[series]]="PC",1,IF(ISNUMBER(SEARCH("PBL",products_parts[[#This Row],[series]])),2,2)))</f>
        <v>1</v>
      </c>
      <c r="S102" s="86" t="str">
        <f>IF(TempRange=2,IF(products_parts[[#This Row],[voltage2]]=0,"0","1"),"1")</f>
        <v>1</v>
      </c>
      <c r="T102" s="78">
        <f>IF(TempRange=1,products_parts[voltage],products_parts[voltage2])</f>
        <v>3</v>
      </c>
      <c r="U102" s="79" t="str">
        <f>IF(ISNUMBER(SEARCH("PBL ",products_parts[series])),"PBL",products_parts[series])</f>
        <v>TPLH 3.0V Threaded</v>
      </c>
      <c r="V102" s="87" t="s">
        <v>263</v>
      </c>
      <c r="W102" s="87" t="s">
        <v>264</v>
      </c>
      <c r="X102" s="68">
        <v>3</v>
      </c>
      <c r="Y102" s="68">
        <v>0</v>
      </c>
      <c r="Z102" s="68">
        <v>650000000</v>
      </c>
      <c r="AA102" s="68">
        <v>0.6</v>
      </c>
      <c r="AB102" s="68">
        <v>1.5</v>
      </c>
      <c r="AC102" s="68">
        <v>60</v>
      </c>
      <c r="AD102" s="68">
        <v>51.5</v>
      </c>
      <c r="AE102" s="68">
        <v>0</v>
      </c>
      <c r="AF102" s="68">
        <v>0</v>
      </c>
      <c r="AG102" s="68">
        <v>0</v>
      </c>
      <c r="AH102" s="68">
        <v>0</v>
      </c>
      <c r="AI102" s="87" t="s">
        <v>37</v>
      </c>
      <c r="AJ102" s="87" t="s">
        <v>156</v>
      </c>
      <c r="AK102" s="68">
        <v>210</v>
      </c>
      <c r="AL102" s="68">
        <v>45</v>
      </c>
      <c r="AS102" s="38"/>
    </row>
    <row r="103" spans="1:45" s="37" customFormat="1" x14ac:dyDescent="0.25">
      <c r="A103" s="84">
        <f>products_parts[[#This Row],[Total Price]]+ROW()*0.0001</f>
        <v>244.0103</v>
      </c>
      <c r="B103" s="75">
        <f>products_parts[[#This Row],[cap_uf]]/1000000</f>
        <v>1200</v>
      </c>
      <c r="C103" s="93">
        <f>products_parts[[#This Row],[Cap]]*products_parts[Total Parallel]/products_parts[Cells in Series]</f>
        <v>300</v>
      </c>
      <c r="D103" s="75">
        <f>PI()*((products_parts[[#This Row],[diameter]]/2)^2)*products_parts[[#This Row],[length]]/1000000</f>
        <v>0.2092300707290802</v>
      </c>
      <c r="E103" s="75">
        <f>IF(products_parts[[#This Row],[Volume (L)]]=0,products_parts[[#This Row],[Height]]*products_parts[[#This Row],[length]]*products_parts[[#This Row],[Width Total]]/1000000,products_parts[[#This Row],[Volume (L)]])</f>
        <v>0.2092300707290802</v>
      </c>
      <c r="F103" s="75">
        <f>products_parts[esr_dc]*products_parts[Cells in Series]/products_parts[Total Parallel]</f>
        <v>1.44</v>
      </c>
      <c r="G103" s="75">
        <f>IF(products_parts[[#This Row],[height2]]=0,products_parts[[#This Row],[length]]-products_parts[[#This Row],[lead_space_s]],products_parts[[#This Row],[height2]])</f>
        <v>74</v>
      </c>
      <c r="H103" s="85">
        <f>IF(products_parts[[#This Row],[thickness]]=0,IF(products_parts[[#This Row],[width]]=0,products_parts[[#This Row],[diameter]],products_parts[[#This Row],[width]]),products_parts[[#This Row],[thickness]])</f>
        <v>60</v>
      </c>
      <c r="I103" s="85">
        <f>IF(products_parts[[#This Row],[voltage]]=0,1000,ROUNDUP(WorkingV/products_parts[Operating Voltage (temp)],0))</f>
        <v>4</v>
      </c>
      <c r="J103" s="75">
        <f>ROUNDUP(Constant/(WorkingV-MinV)*((products_parts[esr_dc]/1000*products_parts[[#This Row],[Cap]])+Time)*products_parts[[#This Row],[Cells in Series]]/products_parts[[#This Row],[Cap]],0)</f>
        <v>1</v>
      </c>
      <c r="K103" s="79">
        <f>ROUNDUP(((Constant/WorkingV+Constant/MinV)/2)*(((products_parts[esr_dc]/1000*products_parts[Cap]))+Time)/(WorkingV-MinV)*(products_parts[[#This Row],[Cells in Series]]/products_parts[Cap]),0)</f>
        <v>1</v>
      </c>
      <c r="L103" s="79">
        <f>IF(Calculations!$J$2=1,products_parts[Cells in Parallel],products_parts[Parallel CP])</f>
        <v>1</v>
      </c>
      <c r="M103" s="75">
        <f>products_parts[[#This Row],[Cells in Series]]*products_parts[[#This Row],[Total Parallel]]</f>
        <v>4</v>
      </c>
      <c r="N103" s="76">
        <f>products_parts[[#This Row],[Price per Cell]]*products_parts[[#This Row],[Total '# of Caps]]</f>
        <v>244</v>
      </c>
      <c r="O103" s="77">
        <f>products_parts[[#This Row],[Calculated Volume]]*products_parts[[#This Row],[Total '# of Caps]]</f>
        <v>0.83692028291632081</v>
      </c>
      <c r="P103" s="77">
        <f>products_parts[[#This Row],[weight]]*products_parts[[#This Row],[Total '# of Caps]]</f>
        <v>1180</v>
      </c>
      <c r="Q103" s="78" t="b">
        <f>AND(products_parts[[#This Row],[Height]]&gt;MIN(Calculations!$K$2,Calculations!$L$2),products_parts[[#This Row],[Height]]&lt;MAX(Calculations!$K$2,Calculations!$L$2))</f>
        <v>1</v>
      </c>
      <c r="R103" s="86">
        <f>IF(ISNUMBER(SEARCH("TPL",products_parts[[#This Row],[series]])),1,IF(products_parts[[#This Row],[series]]="PC",1,IF(ISNUMBER(SEARCH("PBL",products_parts[[#This Row],[series]])),2,2)))</f>
        <v>1</v>
      </c>
      <c r="S103" s="78" t="str">
        <f>IF(TempRange=2,IF(products_parts[[#This Row],[voltage2]]=0,"0","1"),"1")</f>
        <v>1</v>
      </c>
      <c r="T103" s="78">
        <f>IF(TempRange=1,products_parts[voltage],products_parts[voltage2])</f>
        <v>3</v>
      </c>
      <c r="U103" s="79" t="str">
        <f>IF(ISNUMBER(SEARCH("PBL ",products_parts[series])),"PBL",products_parts[series])</f>
        <v>TPLH 3.0V Threaded</v>
      </c>
      <c r="V103" s="87" t="s">
        <v>263</v>
      </c>
      <c r="W103" s="87" t="s">
        <v>265</v>
      </c>
      <c r="X103" s="68">
        <v>3</v>
      </c>
      <c r="Y103" s="68">
        <v>0</v>
      </c>
      <c r="Z103" s="68">
        <v>1200000000</v>
      </c>
      <c r="AA103" s="68">
        <v>0.36</v>
      </c>
      <c r="AB103" s="68">
        <v>2.7</v>
      </c>
      <c r="AC103" s="68">
        <v>60</v>
      </c>
      <c r="AD103" s="68">
        <v>74</v>
      </c>
      <c r="AE103" s="68">
        <v>0</v>
      </c>
      <c r="AF103" s="68">
        <v>0</v>
      </c>
      <c r="AG103" s="68">
        <v>0</v>
      </c>
      <c r="AH103" s="68">
        <v>0</v>
      </c>
      <c r="AI103" s="87" t="s">
        <v>37</v>
      </c>
      <c r="AJ103" s="87" t="s">
        <v>156</v>
      </c>
      <c r="AK103" s="68">
        <v>295</v>
      </c>
      <c r="AL103" s="68">
        <v>61</v>
      </c>
      <c r="AS103" s="38"/>
    </row>
    <row r="104" spans="1:45" s="37" customFormat="1" x14ac:dyDescent="0.25">
      <c r="A104" s="84">
        <f>products_parts[[#This Row],[Total Price]]+ROW()*0.0001</f>
        <v>276.0104</v>
      </c>
      <c r="B104" s="75">
        <f>products_parts[[#This Row],[cap_uf]]/1000000</f>
        <v>1500</v>
      </c>
      <c r="C104" s="93">
        <f>products_parts[[#This Row],[Cap]]*products_parts[Total Parallel]/products_parts[Cells in Series]</f>
        <v>375</v>
      </c>
      <c r="D104" s="75">
        <f>PI()*((products_parts[[#This Row],[diameter]]/2)^2)*products_parts[[#This Row],[length]]/1000000</f>
        <v>0.24033183799961916</v>
      </c>
      <c r="E104" s="75">
        <f>IF(products_parts[[#This Row],[Volume (L)]]=0,products_parts[[#This Row],[Height]]*products_parts[[#This Row],[length]]*products_parts[[#This Row],[Width Total]]/1000000,products_parts[[#This Row],[Volume (L)]])</f>
        <v>0.24033183799961916</v>
      </c>
      <c r="F104" s="75">
        <f>products_parts[esr_dc]*products_parts[Cells in Series]/products_parts[Total Parallel]</f>
        <v>1.24</v>
      </c>
      <c r="G104" s="75">
        <f>IF(products_parts[[#This Row],[height2]]=0,products_parts[[#This Row],[length]]-products_parts[[#This Row],[lead_space_s]],products_parts[[#This Row],[height2]])</f>
        <v>85</v>
      </c>
      <c r="H104" s="85">
        <f>IF(products_parts[[#This Row],[thickness]]=0,IF(products_parts[[#This Row],[width]]=0,products_parts[[#This Row],[diameter]],products_parts[[#This Row],[width]]),products_parts[[#This Row],[thickness]])</f>
        <v>60</v>
      </c>
      <c r="I104" s="85">
        <f>IF(products_parts[[#This Row],[voltage]]=0,1000,ROUNDUP(WorkingV/products_parts[Operating Voltage (temp)],0))</f>
        <v>4</v>
      </c>
      <c r="J104" s="75">
        <f>ROUNDUP(Constant/(WorkingV-MinV)*((products_parts[esr_dc]/1000*products_parts[[#This Row],[Cap]])+Time)*products_parts[[#This Row],[Cells in Series]]/products_parts[[#This Row],[Cap]],0)</f>
        <v>1</v>
      </c>
      <c r="K104" s="78">
        <f>ROUNDUP(((Constant/WorkingV+Constant/MinV)/2)*(((products_parts[esr_dc]/1000*products_parts[Cap]))+Time)/(WorkingV-MinV)*(products_parts[[#This Row],[Cells in Series]]/products_parts[Cap]),0)</f>
        <v>1</v>
      </c>
      <c r="L104" s="79">
        <f>IF(Calculations!$J$2=1,products_parts[Cells in Parallel],products_parts[Parallel CP])</f>
        <v>1</v>
      </c>
      <c r="M104" s="75">
        <f>products_parts[[#This Row],[Cells in Series]]*products_parts[[#This Row],[Total Parallel]]</f>
        <v>4</v>
      </c>
      <c r="N104" s="76">
        <f>products_parts[[#This Row],[Price per Cell]]*products_parts[[#This Row],[Total '# of Caps]]</f>
        <v>276</v>
      </c>
      <c r="O104" s="77">
        <f>products_parts[[#This Row],[Calculated Volume]]*products_parts[[#This Row],[Total '# of Caps]]</f>
        <v>0.96132735199847663</v>
      </c>
      <c r="P104" s="77">
        <f>products_parts[[#This Row],[weight]]*products_parts[[#This Row],[Total '# of Caps]]</f>
        <v>1320</v>
      </c>
      <c r="Q104" s="78" t="b">
        <f>AND(products_parts[[#This Row],[Height]]&gt;MIN(Calculations!$K$2,Calculations!$L$2),products_parts[[#This Row],[Height]]&lt;MAX(Calculations!$K$2,Calculations!$L$2))</f>
        <v>1</v>
      </c>
      <c r="R104" s="86">
        <f>IF(ISNUMBER(SEARCH("TPL",products_parts[[#This Row],[series]])),1,IF(products_parts[[#This Row],[series]]="PC",1,IF(ISNUMBER(SEARCH("PBL",products_parts[[#This Row],[series]])),2,2)))</f>
        <v>1</v>
      </c>
      <c r="S104" s="78" t="str">
        <f>IF(TempRange=2,IF(products_parts[[#This Row],[voltage2]]=0,"0","1"),"1")</f>
        <v>1</v>
      </c>
      <c r="T104" s="78">
        <f>IF(TempRange=1,products_parts[voltage],products_parts[voltage2])</f>
        <v>3</v>
      </c>
      <c r="U104" s="79" t="str">
        <f>IF(ISNUMBER(SEARCH("PBL ",products_parts[series])),"PBL",products_parts[series])</f>
        <v>TPLH 3.0V Threaded</v>
      </c>
      <c r="V104" s="87" t="s">
        <v>263</v>
      </c>
      <c r="W104" s="87" t="s">
        <v>266</v>
      </c>
      <c r="X104" s="68">
        <v>3</v>
      </c>
      <c r="Y104" s="68">
        <v>0</v>
      </c>
      <c r="Z104" s="68">
        <v>1500000000</v>
      </c>
      <c r="AA104" s="68">
        <v>0.31</v>
      </c>
      <c r="AB104" s="68">
        <v>3</v>
      </c>
      <c r="AC104" s="68">
        <v>60</v>
      </c>
      <c r="AD104" s="68">
        <v>85</v>
      </c>
      <c r="AE104" s="68">
        <v>0</v>
      </c>
      <c r="AF104" s="68">
        <v>0</v>
      </c>
      <c r="AG104" s="68">
        <v>0</v>
      </c>
      <c r="AH104" s="68">
        <v>0</v>
      </c>
      <c r="AI104" s="87" t="s">
        <v>37</v>
      </c>
      <c r="AJ104" s="87" t="s">
        <v>156</v>
      </c>
      <c r="AK104" s="68">
        <v>330</v>
      </c>
      <c r="AL104" s="68">
        <v>69</v>
      </c>
      <c r="AS104" s="38"/>
    </row>
    <row r="105" spans="1:45" s="37" customFormat="1" x14ac:dyDescent="0.25">
      <c r="A105" s="84">
        <f>products_parts[[#This Row],[Total Price]]+ROW()*0.0001</f>
        <v>280.01049999999998</v>
      </c>
      <c r="B105" s="75">
        <f>products_parts[[#This Row],[cap_uf]]/1000000</f>
        <v>2000</v>
      </c>
      <c r="C105" s="93">
        <f>products_parts[[#This Row],[Cap]]*products_parts[Total Parallel]/products_parts[Cells in Series]</f>
        <v>500</v>
      </c>
      <c r="D105" s="75">
        <f>PI()*((products_parts[[#This Row],[diameter]]/2)^2)*products_parts[[#This Row],[length]]/1000000</f>
        <v>0.28839820559954299</v>
      </c>
      <c r="E105" s="75">
        <f>IF(products_parts[[#This Row],[Volume (L)]]=0,products_parts[[#This Row],[Height]]*products_parts[[#This Row],[length]]*products_parts[[#This Row],[Width Total]]/1000000,products_parts[[#This Row],[Volume (L)]])</f>
        <v>0.28839820559954299</v>
      </c>
      <c r="F105" s="75">
        <f>products_parts[esr_dc]*products_parts[Cells in Series]/products_parts[Total Parallel]</f>
        <v>1.2</v>
      </c>
      <c r="G105" s="75">
        <f>IF(products_parts[[#This Row],[height2]]=0,products_parts[[#This Row],[length]]-products_parts[[#This Row],[lead_space_s]],products_parts[[#This Row],[height2]])</f>
        <v>102</v>
      </c>
      <c r="H105" s="85">
        <f>IF(products_parts[[#This Row],[thickness]]=0,IF(products_parts[[#This Row],[width]]=0,products_parts[[#This Row],[diameter]],products_parts[[#This Row],[width]]),products_parts[[#This Row],[thickness]])</f>
        <v>60</v>
      </c>
      <c r="I105" s="85">
        <f>IF(products_parts[[#This Row],[voltage]]=0,1000,ROUNDUP(WorkingV/products_parts[Operating Voltage (temp)],0))</f>
        <v>4</v>
      </c>
      <c r="J105" s="75">
        <f>ROUNDUP(Constant/(WorkingV-MinV)*((products_parts[esr_dc]/1000*products_parts[[#This Row],[Cap]])+Time)*products_parts[[#This Row],[Cells in Series]]/products_parts[[#This Row],[Cap]],0)</f>
        <v>1</v>
      </c>
      <c r="K105" s="79">
        <f>ROUNDUP(((Constant/WorkingV+Constant/MinV)/2)*(((products_parts[esr_dc]/1000*products_parts[Cap]))+Time)/(WorkingV-MinV)*(products_parts[[#This Row],[Cells in Series]]/products_parts[Cap]),0)</f>
        <v>1</v>
      </c>
      <c r="L105" s="79">
        <f>IF(Calculations!$J$2=1,products_parts[Cells in Parallel],products_parts[Parallel CP])</f>
        <v>1</v>
      </c>
      <c r="M105" s="75">
        <f>products_parts[[#This Row],[Cells in Series]]*products_parts[[#This Row],[Total Parallel]]</f>
        <v>4</v>
      </c>
      <c r="N105" s="76">
        <f>products_parts[[#This Row],[Price per Cell]]*products_parts[[#This Row],[Total '# of Caps]]</f>
        <v>280</v>
      </c>
      <c r="O105" s="77">
        <f>products_parts[[#This Row],[Calculated Volume]]*products_parts[[#This Row],[Total '# of Caps]]</f>
        <v>1.153592822398172</v>
      </c>
      <c r="P105" s="77">
        <f>products_parts[[#This Row],[weight]]*products_parts[[#This Row],[Total '# of Caps]]</f>
        <v>1560</v>
      </c>
      <c r="Q105" s="78" t="b">
        <f>AND(products_parts[[#This Row],[Height]]&gt;MIN(Calculations!$K$2,Calculations!$L$2),products_parts[[#This Row],[Height]]&lt;MAX(Calculations!$K$2,Calculations!$L$2))</f>
        <v>1</v>
      </c>
      <c r="R105" s="86">
        <f>IF(ISNUMBER(SEARCH("TPL",products_parts[[#This Row],[series]])),1,IF(products_parts[[#This Row],[series]]="PC",1,IF(ISNUMBER(SEARCH("PBL",products_parts[[#This Row],[series]])),2,2)))</f>
        <v>1</v>
      </c>
      <c r="S105" s="78" t="str">
        <f>IF(TempRange=2,IF(products_parts[[#This Row],[voltage2]]=0,"0","1"),"1")</f>
        <v>1</v>
      </c>
      <c r="T105" s="78">
        <f>IF(TempRange=1,products_parts[voltage],products_parts[voltage2])</f>
        <v>3</v>
      </c>
      <c r="U105" s="79" t="str">
        <f>IF(ISNUMBER(SEARCH("PBL ",products_parts[series])),"PBL",products_parts[series])</f>
        <v>TPLH 3.0V Threaded</v>
      </c>
      <c r="V105" s="87" t="s">
        <v>263</v>
      </c>
      <c r="W105" s="87" t="s">
        <v>267</v>
      </c>
      <c r="X105" s="68">
        <v>3</v>
      </c>
      <c r="Y105" s="68">
        <v>0</v>
      </c>
      <c r="Z105" s="68">
        <v>2000000000</v>
      </c>
      <c r="AA105" s="68">
        <v>0.3</v>
      </c>
      <c r="AB105" s="68">
        <v>4</v>
      </c>
      <c r="AC105" s="68">
        <v>60</v>
      </c>
      <c r="AD105" s="68">
        <v>102</v>
      </c>
      <c r="AE105" s="68">
        <v>0</v>
      </c>
      <c r="AF105" s="68">
        <v>0</v>
      </c>
      <c r="AG105" s="68">
        <v>0</v>
      </c>
      <c r="AH105" s="68">
        <v>0</v>
      </c>
      <c r="AI105" s="87" t="s">
        <v>37</v>
      </c>
      <c r="AJ105" s="87" t="s">
        <v>156</v>
      </c>
      <c r="AK105" s="68">
        <v>390</v>
      </c>
      <c r="AL105" s="68">
        <v>70</v>
      </c>
      <c r="AS105" s="38"/>
    </row>
    <row r="106" spans="1:45" s="37" customFormat="1" x14ac:dyDescent="0.25">
      <c r="A106" s="84">
        <f>products_parts[[#This Row],[Total Price]]+ROW()*0.0001</f>
        <v>312.01060000000001</v>
      </c>
      <c r="B106" s="75">
        <f>products_parts[[#This Row],[cap_uf]]/1000000</f>
        <v>3000</v>
      </c>
      <c r="C106" s="93">
        <f>products_parts[[#This Row],[Cap]]*products_parts[Total Parallel]/products_parts[Cells in Series]</f>
        <v>750</v>
      </c>
      <c r="D106" s="75">
        <f>PI()*((products_parts[[#This Row],[diameter]]/2)^2)*products_parts[[#This Row],[length]]/1000000</f>
        <v>0.39018580757585231</v>
      </c>
      <c r="E106" s="75">
        <f>IF(products_parts[[#This Row],[Volume (L)]]=0,products_parts[[#This Row],[Height]]*products_parts[[#This Row],[length]]*products_parts[[#This Row],[Width Total]]/1000000,products_parts[[#This Row],[Volume (L)]])</f>
        <v>0.39018580757585231</v>
      </c>
      <c r="F106" s="75">
        <f>products_parts[esr_dc]*products_parts[Cells in Series]/products_parts[Total Parallel]</f>
        <v>1.04</v>
      </c>
      <c r="G106" s="75">
        <f>IF(products_parts[[#This Row],[height2]]=0,products_parts[[#This Row],[length]]-products_parts[[#This Row],[lead_space_s]],products_parts[[#This Row],[height2]])</f>
        <v>138</v>
      </c>
      <c r="H106" s="85">
        <f>IF(products_parts[[#This Row],[thickness]]=0,IF(products_parts[[#This Row],[width]]=0,products_parts[[#This Row],[diameter]],products_parts[[#This Row],[width]]),products_parts[[#This Row],[thickness]])</f>
        <v>60</v>
      </c>
      <c r="I106" s="85">
        <f>IF(products_parts[[#This Row],[voltage]]=0,1000,ROUNDUP(WorkingV/products_parts[Operating Voltage (temp)],0))</f>
        <v>4</v>
      </c>
      <c r="J106" s="75">
        <f>ROUNDUP(Constant/(WorkingV-MinV)*((products_parts[esr_dc]/1000*products_parts[[#This Row],[Cap]])+Time)*products_parts[[#This Row],[Cells in Series]]/products_parts[[#This Row],[Cap]],0)</f>
        <v>1</v>
      </c>
      <c r="K106" s="78">
        <f>ROUNDUP(((Constant/WorkingV+Constant/MinV)/2)*(((products_parts[esr_dc]/1000*products_parts[Cap]))+Time)/(WorkingV-MinV)*(products_parts[[#This Row],[Cells in Series]]/products_parts[Cap]),0)</f>
        <v>1</v>
      </c>
      <c r="L106" s="79">
        <f>IF(Calculations!$J$2=1,products_parts[Cells in Parallel],products_parts[Parallel CP])</f>
        <v>1</v>
      </c>
      <c r="M106" s="75">
        <f>products_parts[[#This Row],[Cells in Series]]*products_parts[[#This Row],[Total Parallel]]</f>
        <v>4</v>
      </c>
      <c r="N106" s="76">
        <f>products_parts[[#This Row],[Price per Cell]]*products_parts[[#This Row],[Total '# of Caps]]</f>
        <v>312</v>
      </c>
      <c r="O106" s="77">
        <f>products_parts[[#This Row],[Calculated Volume]]*products_parts[[#This Row],[Total '# of Caps]]</f>
        <v>1.5607432303034092</v>
      </c>
      <c r="P106" s="77">
        <f>products_parts[[#This Row],[weight]]*products_parts[[#This Row],[Total '# of Caps]]</f>
        <v>2100</v>
      </c>
      <c r="Q106" s="78" t="b">
        <f>AND(products_parts[[#This Row],[Height]]&gt;MIN(Calculations!$K$2,Calculations!$L$2),products_parts[[#This Row],[Height]]&lt;MAX(Calculations!$K$2,Calculations!$L$2))</f>
        <v>1</v>
      </c>
      <c r="R106" s="86">
        <f>IF(ISNUMBER(SEARCH("TPL",products_parts[[#This Row],[series]])),1,IF(products_parts[[#This Row],[series]]="PC",1,IF(ISNUMBER(SEARCH("PBL",products_parts[[#This Row],[series]])),2,2)))</f>
        <v>1</v>
      </c>
      <c r="S106" s="78" t="str">
        <f>IF(TempRange=2,IF(products_parts[[#This Row],[voltage2]]=0,"0","1"),"1")</f>
        <v>1</v>
      </c>
      <c r="T106" s="78">
        <f>IF(TempRange=1,products_parts[voltage],products_parts[voltage2])</f>
        <v>3</v>
      </c>
      <c r="U106" s="79" t="str">
        <f>IF(ISNUMBER(SEARCH("PBL ",products_parts[series])),"PBL",products_parts[series])</f>
        <v>TPLH 3.0V Threaded</v>
      </c>
      <c r="V106" s="87" t="s">
        <v>263</v>
      </c>
      <c r="W106" s="87" t="s">
        <v>268</v>
      </c>
      <c r="X106" s="68">
        <v>3</v>
      </c>
      <c r="Y106" s="68">
        <v>0</v>
      </c>
      <c r="Z106" s="68">
        <v>3000000000</v>
      </c>
      <c r="AA106" s="68">
        <v>0.26</v>
      </c>
      <c r="AB106" s="68">
        <v>5</v>
      </c>
      <c r="AC106" s="68">
        <v>60</v>
      </c>
      <c r="AD106" s="68">
        <v>138</v>
      </c>
      <c r="AE106" s="68">
        <v>0</v>
      </c>
      <c r="AF106" s="68">
        <v>0</v>
      </c>
      <c r="AG106" s="68">
        <v>0</v>
      </c>
      <c r="AH106" s="68">
        <v>0</v>
      </c>
      <c r="AI106" s="87" t="s">
        <v>37</v>
      </c>
      <c r="AJ106" s="87" t="s">
        <v>156</v>
      </c>
      <c r="AK106" s="68">
        <v>525</v>
      </c>
      <c r="AL106" s="68">
        <v>78</v>
      </c>
      <c r="AS106" s="38"/>
    </row>
    <row r="107" spans="1:45" s="37" customFormat="1" x14ac:dyDescent="0.25">
      <c r="A107" s="84">
        <f>products_parts[[#This Row],[Total Price]]+ROW()*0.0001</f>
        <v>2730.0106999999998</v>
      </c>
      <c r="B107" s="75">
        <f>products_parts[[#This Row],[cap_uf]]/1000000</f>
        <v>0.5</v>
      </c>
      <c r="C107" s="93">
        <f>products_parts[[#This Row],[Cap]]*products_parts[Total Parallel]/products_parts[Cells in Series]</f>
        <v>27.3</v>
      </c>
      <c r="D107" s="75">
        <f>PI()*((products_parts[[#This Row],[diameter]]/2)^2)*products_parts[[#This Row],[length]]/1000000</f>
        <v>6.0318578948924026E-4</v>
      </c>
      <c r="E107" s="75">
        <f>IF(products_parts[[#This Row],[Volume (L)]]=0,products_parts[[#This Row],[Height]]*products_parts[[#This Row],[length]]*products_parts[[#This Row],[Width Total]]/1000000,products_parts[[#This Row],[Volume (L)]])</f>
        <v>6.0318578948924026E-4</v>
      </c>
      <c r="F107" s="75">
        <f>products_parts[esr_dc]*products_parts[Cells in Series]/products_parts[Total Parallel]</f>
        <v>32.967032967032964</v>
      </c>
      <c r="G107" s="75">
        <f>IF(products_parts[[#This Row],[height2]]=0,products_parts[[#This Row],[length]]-products_parts[[#This Row],[lead_space_s]],products_parts[[#This Row],[height2]])</f>
        <v>8.5</v>
      </c>
      <c r="H107" s="85">
        <f>IF(products_parts[[#This Row],[thickness]]=0,IF(products_parts[[#This Row],[width]]=0,products_parts[[#This Row],[diameter]],products_parts[[#This Row],[width]]),products_parts[[#This Row],[thickness]])</f>
        <v>8</v>
      </c>
      <c r="I107" s="85">
        <f>IF(products_parts[[#This Row],[voltage]]=0,1000,ROUNDUP(WorkingV/products_parts[Operating Voltage (temp)],0))</f>
        <v>5</v>
      </c>
      <c r="J107" s="75">
        <f>ROUNDUP(Constant/(WorkingV-MinV)*((products_parts[esr_dc]/1000*products_parts[[#This Row],[Cap]])+Time)*products_parts[[#This Row],[Cells in Series]]/products_parts[[#This Row],[Cap]],0)</f>
        <v>273</v>
      </c>
      <c r="K107" s="79">
        <f>ROUNDUP(((Constant/WorkingV+Constant/MinV)/2)*(((products_parts[esr_dc]/1000*products_parts[Cap]))+Time)/(WorkingV-MinV)*(products_parts[[#This Row],[Cells in Series]]/products_parts[Cap]),0)</f>
        <v>25</v>
      </c>
      <c r="L107" s="79">
        <f>IF(Calculations!$J$2=1,products_parts[Cells in Parallel],products_parts[Parallel CP])</f>
        <v>273</v>
      </c>
      <c r="M107" s="75">
        <f>products_parts[[#This Row],[Cells in Series]]*products_parts[[#This Row],[Total Parallel]]</f>
        <v>1365</v>
      </c>
      <c r="N107" s="76">
        <f>products_parts[[#This Row],[Price per Cell]]*products_parts[[#This Row],[Total '# of Caps]]</f>
        <v>2730</v>
      </c>
      <c r="O107" s="77">
        <f>products_parts[[#This Row],[Calculated Volume]]*products_parts[[#This Row],[Total '# of Caps]]</f>
        <v>0.82334860265281296</v>
      </c>
      <c r="P107" s="77">
        <f>products_parts[[#This Row],[weight]]*products_parts[[#This Row],[Total '# of Caps]]</f>
        <v>1365</v>
      </c>
      <c r="Q107" s="78" t="b">
        <f>AND(products_parts[[#This Row],[Height]]&gt;MIN(Calculations!$K$2,Calculations!$L$2),products_parts[[#This Row],[Height]]&lt;MAX(Calculations!$K$2,Calculations!$L$2))</f>
        <v>1</v>
      </c>
      <c r="R107" s="86">
        <f>IF(ISNUMBER(SEARCH("TPL",products_parts[[#This Row],[series]])),1,IF(products_parts[[#This Row],[series]]="PC",1,IF(ISNUMBER(SEARCH("PBL",products_parts[[#This Row],[series]])),2,2)))</f>
        <v>1</v>
      </c>
      <c r="S107" s="86" t="str">
        <f>IF(TempRange=2,IF(products_parts[[#This Row],[voltage2]]=0,"0","1"),"1")</f>
        <v>1</v>
      </c>
      <c r="T107" s="79">
        <f>IF(TempRange=1,products_parts[voltage],products_parts[voltage2])</f>
        <v>2.7</v>
      </c>
      <c r="U107" s="79" t="str">
        <f>IF(ISNUMBER(SEARCH("PBL ",products_parts[series])),"PBL",products_parts[series])</f>
        <v>TPL</v>
      </c>
      <c r="V107" s="87" t="s">
        <v>41</v>
      </c>
      <c r="W107" s="87" t="s">
        <v>0</v>
      </c>
      <c r="X107" s="68">
        <v>2.7</v>
      </c>
      <c r="Y107" s="68">
        <v>2.2999999999999998</v>
      </c>
      <c r="Z107" s="68">
        <v>500000</v>
      </c>
      <c r="AA107" s="68">
        <v>1800</v>
      </c>
      <c r="AB107" s="68">
        <v>2E-3</v>
      </c>
      <c r="AC107" s="68">
        <v>8</v>
      </c>
      <c r="AD107" s="68">
        <v>12</v>
      </c>
      <c r="AE107" s="68">
        <v>0</v>
      </c>
      <c r="AF107" s="68">
        <v>0</v>
      </c>
      <c r="AG107" s="68">
        <v>0</v>
      </c>
      <c r="AH107" s="68">
        <v>3.5</v>
      </c>
      <c r="AI107" s="87" t="s">
        <v>37</v>
      </c>
      <c r="AJ107" s="87" t="s">
        <v>38</v>
      </c>
      <c r="AK107" s="68">
        <v>1</v>
      </c>
      <c r="AL107" s="68">
        <v>2</v>
      </c>
      <c r="AS107" s="38"/>
    </row>
    <row r="108" spans="1:45" s="37" customFormat="1" x14ac:dyDescent="0.25">
      <c r="A108" s="84">
        <f>products_parts[[#This Row],[Total Price]]+ROW()*0.0001</f>
        <v>1340.0108</v>
      </c>
      <c r="B108" s="75">
        <f>products_parts[[#This Row],[cap_uf]]/1000000</f>
        <v>1</v>
      </c>
      <c r="C108" s="93">
        <f>products_parts[[#This Row],[Cap]]*products_parts[Total Parallel]/products_parts[Cells in Series]</f>
        <v>26.8</v>
      </c>
      <c r="D108" s="75">
        <f>PI()*((products_parts[[#This Row],[diameter]]/2)^2)*products_parts[[#This Row],[length]]/1000000</f>
        <v>6.0318578948924026E-4</v>
      </c>
      <c r="E108" s="75">
        <f>IF(products_parts[[#This Row],[Volume (L)]]=0,products_parts[[#This Row],[Height]]*products_parts[[#This Row],[length]]*products_parts[[#This Row],[Width Total]]/1000000,products_parts[[#This Row],[Volume (L)]])</f>
        <v>6.0318578948924026E-4</v>
      </c>
      <c r="F108" s="75">
        <f>products_parts[esr_dc]*products_parts[Cells in Series]/products_parts[Total Parallel]</f>
        <v>26.119402985074625</v>
      </c>
      <c r="G108" s="75">
        <f>IF(products_parts[[#This Row],[height2]]=0,products_parts[[#This Row],[length]]-products_parts[[#This Row],[lead_space_s]],products_parts[[#This Row],[height2]])</f>
        <v>8.5</v>
      </c>
      <c r="H108" s="85">
        <f>IF(products_parts[[#This Row],[thickness]]=0,IF(products_parts[[#This Row],[width]]=0,products_parts[[#This Row],[diameter]],products_parts[[#This Row],[width]]),products_parts[[#This Row],[thickness]])</f>
        <v>8</v>
      </c>
      <c r="I108" s="85">
        <f>IF(products_parts[[#This Row],[voltage]]=0,1000,ROUNDUP(WorkingV/products_parts[Operating Voltage (temp)],0))</f>
        <v>5</v>
      </c>
      <c r="J108" s="75">
        <f>ROUNDUP(Constant/(WorkingV-MinV)*((products_parts[esr_dc]/1000*products_parts[[#This Row],[Cap]])+Time)*products_parts[[#This Row],[Cells in Series]]/products_parts[[#This Row],[Cap]],0)</f>
        <v>134</v>
      </c>
      <c r="K108" s="78">
        <f>ROUNDUP(((Constant/WorkingV+Constant/MinV)/2)*(((products_parts[esr_dc]/1000*products_parts[Cap]))+Time)/(WorkingV-MinV)*(products_parts[[#This Row],[Cells in Series]]/products_parts[Cap]),0)</f>
        <v>13</v>
      </c>
      <c r="L108" s="79">
        <f>IF(Calculations!$J$2=1,products_parts[Cells in Parallel],products_parts[Parallel CP])</f>
        <v>134</v>
      </c>
      <c r="M108" s="75">
        <f>products_parts[[#This Row],[Cells in Series]]*products_parts[[#This Row],[Total Parallel]]</f>
        <v>670</v>
      </c>
      <c r="N108" s="76">
        <f>products_parts[[#This Row],[Price per Cell]]*products_parts[[#This Row],[Total '# of Caps]]</f>
        <v>1340</v>
      </c>
      <c r="O108" s="77">
        <f>products_parts[[#This Row],[Calculated Volume]]*products_parts[[#This Row],[Total '# of Caps]]</f>
        <v>0.40413447895779098</v>
      </c>
      <c r="P108" s="77">
        <f>products_parts[[#This Row],[weight]]*products_parts[[#This Row],[Total '# of Caps]]</f>
        <v>737.00000000000011</v>
      </c>
      <c r="Q108" s="78" t="b">
        <f>AND(products_parts[[#This Row],[Height]]&gt;MIN(Calculations!$K$2,Calculations!$L$2),products_parts[[#This Row],[Height]]&lt;MAX(Calculations!$K$2,Calculations!$L$2))</f>
        <v>1</v>
      </c>
      <c r="R108" s="86">
        <f>IF(ISNUMBER(SEARCH("TPL",products_parts[[#This Row],[series]])),1,IF(products_parts[[#This Row],[series]]="PC",1,IF(ISNUMBER(SEARCH("PBL",products_parts[[#This Row],[series]])),2,2)))</f>
        <v>1</v>
      </c>
      <c r="S108" s="78" t="str">
        <f>IF(TempRange=2,IF(products_parts[[#This Row],[voltage2]]=0,"0","1"),"1")</f>
        <v>1</v>
      </c>
      <c r="T108" s="78">
        <f>IF(TempRange=1,products_parts[voltage],products_parts[voltage2])</f>
        <v>2.7</v>
      </c>
      <c r="U108" s="79" t="str">
        <f>IF(ISNUMBER(SEARCH("PBL ",products_parts[series])),"PBL",products_parts[series])</f>
        <v>TPL</v>
      </c>
      <c r="V108" s="87" t="s">
        <v>41</v>
      </c>
      <c r="W108" s="87" t="s">
        <v>1</v>
      </c>
      <c r="X108" s="68">
        <v>2.7</v>
      </c>
      <c r="Y108" s="68">
        <v>2.2999999999999998</v>
      </c>
      <c r="Z108" s="68">
        <v>1000000</v>
      </c>
      <c r="AA108" s="68">
        <v>700</v>
      </c>
      <c r="AB108" s="68">
        <v>6.0000000000000001E-3</v>
      </c>
      <c r="AC108" s="68">
        <v>8</v>
      </c>
      <c r="AD108" s="68">
        <v>12</v>
      </c>
      <c r="AE108" s="68">
        <v>0</v>
      </c>
      <c r="AF108" s="68">
        <v>0</v>
      </c>
      <c r="AG108" s="68">
        <v>0</v>
      </c>
      <c r="AH108" s="68">
        <v>3.5</v>
      </c>
      <c r="AI108" s="87" t="s">
        <v>37</v>
      </c>
      <c r="AJ108" s="87" t="s">
        <v>38</v>
      </c>
      <c r="AK108" s="68">
        <v>1.1000000000000001</v>
      </c>
      <c r="AL108" s="68">
        <v>2</v>
      </c>
      <c r="AS108" s="38"/>
    </row>
    <row r="109" spans="1:45" s="37" customFormat="1" x14ac:dyDescent="0.25">
      <c r="A109" s="84">
        <f>products_parts[[#This Row],[Total Price]]+ROW()*0.0001</f>
        <v>890.01089999999999</v>
      </c>
      <c r="B109" s="75">
        <f>products_parts[[#This Row],[cap_uf]]/1000000</f>
        <v>1.5</v>
      </c>
      <c r="C109" s="93">
        <f>products_parts[[#This Row],[Cap]]*products_parts[Total Parallel]/products_parts[Cells in Series]</f>
        <v>26.7</v>
      </c>
      <c r="D109" s="75">
        <f>PI()*((products_parts[[#This Row],[diameter]]/2)^2)*products_parts[[#This Row],[length]]/1000000</f>
        <v>7.0371675440411368E-4</v>
      </c>
      <c r="E109" s="75">
        <f>IF(products_parts[[#This Row],[Volume (L)]]=0,products_parts[[#This Row],[Height]]*products_parts[[#This Row],[length]]*products_parts[[#This Row],[Width Total]]/1000000,products_parts[[#This Row],[Volume (L)]])</f>
        <v>7.0371675440411368E-4</v>
      </c>
      <c r="F109" s="75">
        <f>products_parts[esr_dc]*products_parts[Cells in Series]/products_parts[Total Parallel]</f>
        <v>23.033707865168541</v>
      </c>
      <c r="G109" s="75">
        <f>IF(products_parts[[#This Row],[height2]]=0,products_parts[[#This Row],[length]]-products_parts[[#This Row],[lead_space_s]],products_parts[[#This Row],[height2]])</f>
        <v>10.5</v>
      </c>
      <c r="H109" s="85">
        <f>IF(products_parts[[#This Row],[thickness]]=0,IF(products_parts[[#This Row],[width]]=0,products_parts[[#This Row],[diameter]],products_parts[[#This Row],[width]]),products_parts[[#This Row],[thickness]])</f>
        <v>8</v>
      </c>
      <c r="I109" s="85">
        <f>IF(products_parts[[#This Row],[voltage]]=0,1000,ROUNDUP(WorkingV/products_parts[Operating Voltage (temp)],0))</f>
        <v>5</v>
      </c>
      <c r="J109" s="75">
        <f>ROUNDUP(Constant/(WorkingV-MinV)*((products_parts[esr_dc]/1000*products_parts[[#This Row],[Cap]])+Time)*products_parts[[#This Row],[Cells in Series]]/products_parts[[#This Row],[Cap]],0)</f>
        <v>89</v>
      </c>
      <c r="K109" s="78">
        <f>ROUNDUP(((Constant/WorkingV+Constant/MinV)/2)*(((products_parts[esr_dc]/1000*products_parts[Cap]))+Time)/(WorkingV-MinV)*(products_parts[[#This Row],[Cells in Series]]/products_parts[Cap]),0)</f>
        <v>9</v>
      </c>
      <c r="L109" s="79">
        <f>IF(Calculations!$J$2=1,products_parts[Cells in Parallel],products_parts[Parallel CP])</f>
        <v>89</v>
      </c>
      <c r="M109" s="75">
        <f>products_parts[[#This Row],[Cells in Series]]*products_parts[[#This Row],[Total Parallel]]</f>
        <v>445</v>
      </c>
      <c r="N109" s="76">
        <f>products_parts[[#This Row],[Price per Cell]]*products_parts[[#This Row],[Total '# of Caps]]</f>
        <v>890</v>
      </c>
      <c r="O109" s="77">
        <f>products_parts[[#This Row],[Calculated Volume]]*products_parts[[#This Row],[Total '# of Caps]]</f>
        <v>0.31315395570983057</v>
      </c>
      <c r="P109" s="77">
        <f>products_parts[[#This Row],[weight]]*products_parts[[#This Row],[Total '# of Caps]]</f>
        <v>534</v>
      </c>
      <c r="Q109" s="78" t="b">
        <f>AND(products_parts[[#This Row],[Height]]&gt;MIN(Calculations!$K$2,Calculations!$L$2),products_parts[[#This Row],[Height]]&lt;MAX(Calculations!$K$2,Calculations!$L$2))</f>
        <v>1</v>
      </c>
      <c r="R109" s="86">
        <f>IF(ISNUMBER(SEARCH("TPL",products_parts[[#This Row],[series]])),1,IF(products_parts[[#This Row],[series]]="PC",1,IF(ISNUMBER(SEARCH("PBL",products_parts[[#This Row],[series]])),2,2)))</f>
        <v>1</v>
      </c>
      <c r="S109" s="78" t="str">
        <f>IF(TempRange=2,IF(products_parts[[#This Row],[voltage2]]=0,"0","1"),"1")</f>
        <v>1</v>
      </c>
      <c r="T109" s="78">
        <f>IF(TempRange=1,products_parts[voltage],products_parts[voltage2])</f>
        <v>2.7</v>
      </c>
      <c r="U109" s="79" t="str">
        <f>IF(ISNUMBER(SEARCH("PBL ",products_parts[series])),"PBL",products_parts[series])</f>
        <v>TPL</v>
      </c>
      <c r="V109" s="87" t="s">
        <v>41</v>
      </c>
      <c r="W109" s="87" t="s">
        <v>2</v>
      </c>
      <c r="X109" s="68">
        <v>2.7</v>
      </c>
      <c r="Y109" s="68">
        <v>2.2999999999999998</v>
      </c>
      <c r="Z109" s="68">
        <v>1500000</v>
      </c>
      <c r="AA109" s="68">
        <v>410</v>
      </c>
      <c r="AB109" s="68">
        <v>8.0000000000000002E-3</v>
      </c>
      <c r="AC109" s="68">
        <v>8</v>
      </c>
      <c r="AD109" s="68">
        <v>14</v>
      </c>
      <c r="AE109" s="68">
        <v>0</v>
      </c>
      <c r="AF109" s="68">
        <v>0</v>
      </c>
      <c r="AG109" s="68">
        <v>0</v>
      </c>
      <c r="AH109" s="68">
        <v>3.5</v>
      </c>
      <c r="AI109" s="87" t="s">
        <v>37</v>
      </c>
      <c r="AJ109" s="87" t="s">
        <v>38</v>
      </c>
      <c r="AK109" s="68">
        <v>1.2</v>
      </c>
      <c r="AL109" s="68">
        <v>2</v>
      </c>
      <c r="AS109" s="38"/>
    </row>
    <row r="110" spans="1:45" s="37" customFormat="1" x14ac:dyDescent="0.25">
      <c r="A110" s="84">
        <f>products_parts[[#This Row],[Total Price]]+ROW()*0.0001</f>
        <v>140.011</v>
      </c>
      <c r="B110" s="75">
        <f>products_parts[[#This Row],[cap_uf]]/1000000</f>
        <v>10</v>
      </c>
      <c r="C110" s="93">
        <f>products_parts[[#This Row],[Cap]]*products_parts[Total Parallel]/products_parts[Cells in Series]</f>
        <v>28</v>
      </c>
      <c r="D110" s="75">
        <f>PI()*((products_parts[[#This Row],[diameter]]/2)^2)*products_parts[[#This Row],[length]]/1000000</f>
        <v>2.3561944901923449E-3</v>
      </c>
      <c r="E110" s="75">
        <f>IF(products_parts[[#This Row],[Volume (L)]]=0,products_parts[[#This Row],[Height]]*products_parts[[#This Row],[length]]*products_parts[[#This Row],[Width Total]]/1000000,products_parts[[#This Row],[Volume (L)]])</f>
        <v>2.3561944901923449E-3</v>
      </c>
      <c r="F110" s="75">
        <f>products_parts[esr_dc]*products_parts[Cells in Series]/products_parts[Total Parallel]</f>
        <v>30.357142857142858</v>
      </c>
      <c r="G110" s="75">
        <f>IF(products_parts[[#This Row],[height2]]=0,products_parts[[#This Row],[length]]-products_parts[[#This Row],[lead_space_s]],products_parts[[#This Row],[height2]])</f>
        <v>25</v>
      </c>
      <c r="H110" s="85">
        <f>IF(products_parts[[#This Row],[thickness]]=0,IF(products_parts[[#This Row],[width]]=0,products_parts[[#This Row],[diameter]],products_parts[[#This Row],[width]]),products_parts[[#This Row],[thickness]])</f>
        <v>10</v>
      </c>
      <c r="I110" s="85">
        <f>IF(products_parts[[#This Row],[voltage]]=0,1000,ROUNDUP(WorkingV/products_parts[Operating Voltage (temp)],0))</f>
        <v>5</v>
      </c>
      <c r="J110" s="75">
        <f>ROUNDUP(Constant/(WorkingV-MinV)*((products_parts[esr_dc]/1000*products_parts[[#This Row],[Cap]])+Time)*products_parts[[#This Row],[Cells in Series]]/products_parts[[#This Row],[Cap]],0)</f>
        <v>14</v>
      </c>
      <c r="K110" s="78">
        <f>ROUNDUP(((Constant/WorkingV+Constant/MinV)/2)*(((products_parts[esr_dc]/1000*products_parts[Cap]))+Time)/(WorkingV-MinV)*(products_parts[[#This Row],[Cells in Series]]/products_parts[Cap]),0)</f>
        <v>2</v>
      </c>
      <c r="L110" s="79">
        <f>IF(Calculations!$J$2=1,products_parts[Cells in Parallel],products_parts[Parallel CP])</f>
        <v>14</v>
      </c>
      <c r="M110" s="75">
        <f>products_parts[[#This Row],[Cells in Series]]*products_parts[[#This Row],[Total Parallel]]</f>
        <v>70</v>
      </c>
      <c r="N110" s="76">
        <f>products_parts[[#This Row],[Price per Cell]]*products_parts[[#This Row],[Total '# of Caps]]</f>
        <v>140</v>
      </c>
      <c r="O110" s="77">
        <f>products_parts[[#This Row],[Calculated Volume]]*products_parts[[#This Row],[Total '# of Caps]]</f>
        <v>0.16493361431346415</v>
      </c>
      <c r="P110" s="77">
        <f>products_parts[[#This Row],[weight]]*products_parts[[#This Row],[Total '# of Caps]]</f>
        <v>245</v>
      </c>
      <c r="Q110" s="78" t="b">
        <f>AND(products_parts[[#This Row],[Height]]&gt;MIN(Calculations!$K$2,Calculations!$L$2),products_parts[[#This Row],[Height]]&lt;MAX(Calculations!$K$2,Calculations!$L$2))</f>
        <v>1</v>
      </c>
      <c r="R110" s="86">
        <f>IF(ISNUMBER(SEARCH("TPL",products_parts[[#This Row],[series]])),1,IF(products_parts[[#This Row],[series]]="PC",1,IF(ISNUMBER(SEARCH("PBL",products_parts[[#This Row],[series]])),2,2)))</f>
        <v>1</v>
      </c>
      <c r="S110" s="78" t="str">
        <f>IF(TempRange=2,IF(products_parts[[#This Row],[voltage2]]=0,"0","1"),"1")</f>
        <v>1</v>
      </c>
      <c r="T110" s="78">
        <f>IF(TempRange=1,products_parts[voltage],products_parts[voltage2])</f>
        <v>2.7</v>
      </c>
      <c r="U110" s="79" t="str">
        <f>IF(ISNUMBER(SEARCH("PBL ",products_parts[series])),"PBL",products_parts[series])</f>
        <v>TPL</v>
      </c>
      <c r="V110" s="87" t="s">
        <v>41</v>
      </c>
      <c r="W110" s="87" t="s">
        <v>3</v>
      </c>
      <c r="X110" s="68">
        <v>2.7</v>
      </c>
      <c r="Y110" s="68">
        <v>2.2999999999999998</v>
      </c>
      <c r="Z110" s="68">
        <v>10000000</v>
      </c>
      <c r="AA110" s="68">
        <v>85</v>
      </c>
      <c r="AB110" s="68">
        <v>0.03</v>
      </c>
      <c r="AC110" s="68">
        <v>10</v>
      </c>
      <c r="AD110" s="68">
        <v>30</v>
      </c>
      <c r="AE110" s="68">
        <v>0</v>
      </c>
      <c r="AF110" s="68">
        <v>0</v>
      </c>
      <c r="AG110" s="68">
        <v>0</v>
      </c>
      <c r="AH110" s="68">
        <v>5</v>
      </c>
      <c r="AI110" s="87" t="s">
        <v>37</v>
      </c>
      <c r="AJ110" s="87" t="s">
        <v>38</v>
      </c>
      <c r="AK110" s="68">
        <v>3.5</v>
      </c>
      <c r="AL110" s="68">
        <v>2</v>
      </c>
      <c r="AS110" s="38"/>
    </row>
    <row r="111" spans="1:45" s="37" customFormat="1" x14ac:dyDescent="0.25">
      <c r="A111" s="84">
        <f>products_parts[[#This Row],[Total Price]]+ROW()*0.0001</f>
        <v>222.5111</v>
      </c>
      <c r="B111" s="75">
        <f>products_parts[[#This Row],[cap_uf]]/1000000</f>
        <v>15</v>
      </c>
      <c r="C111" s="93">
        <f>products_parts[[#This Row],[Cap]]*products_parts[Total Parallel]/products_parts[Cells in Series]</f>
        <v>30</v>
      </c>
      <c r="D111" s="75">
        <f>PI()*((products_parts[[#This Row],[diameter]]/2)^2)*products_parts[[#This Row],[length]]/1000000</f>
        <v>3.865631585471816E-3</v>
      </c>
      <c r="E111" s="75">
        <f>IF(products_parts[[#This Row],[Volume (L)]]=0,products_parts[[#This Row],[Height]]*products_parts[[#This Row],[length]]*products_parts[[#This Row],[Width Total]]/1000000,products_parts[[#This Row],[Volume (L)]])</f>
        <v>3.865631585471816E-3</v>
      </c>
      <c r="F111" s="75">
        <f>products_parts[esr_dc]*products_parts[Cells in Series]/products_parts[Total Parallel]</f>
        <v>30</v>
      </c>
      <c r="G111" s="75">
        <f>IF(products_parts[[#This Row],[height2]]=0,products_parts[[#This Row],[length]]-products_parts[[#This Row],[lead_space_s]],products_parts[[#This Row],[height2]])</f>
        <v>26.2</v>
      </c>
      <c r="H111" s="85">
        <f>IF(products_parts[[#This Row],[thickness]]=0,IF(products_parts[[#This Row],[width]]=0,products_parts[[#This Row],[diameter]],products_parts[[#This Row],[width]]),products_parts[[#This Row],[thickness]])</f>
        <v>12.5</v>
      </c>
      <c r="I111" s="85">
        <f>IF(products_parts[[#This Row],[voltage]]=0,1000,ROUNDUP(WorkingV/products_parts[Operating Voltage (temp)],0))</f>
        <v>5</v>
      </c>
      <c r="J111" s="75">
        <f>ROUNDUP(Constant/(WorkingV-MinV)*((products_parts[esr_dc]/1000*products_parts[[#This Row],[Cap]])+Time)*products_parts[[#This Row],[Cells in Series]]/products_parts[[#This Row],[Cap]],0)</f>
        <v>10</v>
      </c>
      <c r="K111" s="78">
        <f>ROUNDUP(((Constant/WorkingV+Constant/MinV)/2)*(((products_parts[esr_dc]/1000*products_parts[Cap]))+Time)/(WorkingV-MinV)*(products_parts[[#This Row],[Cells in Series]]/products_parts[Cap]),0)</f>
        <v>1</v>
      </c>
      <c r="L111" s="79">
        <f>IF(Calculations!$J$2=1,products_parts[Cells in Parallel],products_parts[Parallel CP])</f>
        <v>10</v>
      </c>
      <c r="M111" s="75">
        <f>products_parts[[#This Row],[Cells in Series]]*products_parts[[#This Row],[Total Parallel]]</f>
        <v>50</v>
      </c>
      <c r="N111" s="76">
        <f>products_parts[[#This Row],[Price per Cell]]*products_parts[[#This Row],[Total '# of Caps]]</f>
        <v>222.5</v>
      </c>
      <c r="O111" s="77">
        <f>products_parts[[#This Row],[Calculated Volume]]*products_parts[[#This Row],[Total '# of Caps]]</f>
        <v>0.1932815792735908</v>
      </c>
      <c r="P111" s="77">
        <f>products_parts[[#This Row],[weight]]*products_parts[[#This Row],[Total '# of Caps]]</f>
        <v>265</v>
      </c>
      <c r="Q111" s="78" t="b">
        <f>AND(products_parts[[#This Row],[Height]]&gt;MIN(Calculations!$K$2,Calculations!$L$2),products_parts[[#This Row],[Height]]&lt;MAX(Calculations!$K$2,Calculations!$L$2))</f>
        <v>1</v>
      </c>
      <c r="R111" s="86">
        <f>IF(ISNUMBER(SEARCH("TPL",products_parts[[#This Row],[series]])),1,IF(products_parts[[#This Row],[series]]="PC",1,IF(ISNUMBER(SEARCH("PBL",products_parts[[#This Row],[series]])),2,2)))</f>
        <v>1</v>
      </c>
      <c r="S111" s="78" t="str">
        <f>IF(TempRange=2,IF(products_parts[[#This Row],[voltage2]]=0,"0","1"),"1")</f>
        <v>1</v>
      </c>
      <c r="T111" s="78">
        <f>IF(TempRange=1,products_parts[voltage],products_parts[voltage2])</f>
        <v>2.7</v>
      </c>
      <c r="U111" s="79" t="str">
        <f>IF(ISNUMBER(SEARCH("PBL ",products_parts[series])),"PBL",products_parts[series])</f>
        <v>TPL</v>
      </c>
      <c r="V111" s="87" t="s">
        <v>41</v>
      </c>
      <c r="W111" s="87" t="s">
        <v>4</v>
      </c>
      <c r="X111" s="68">
        <v>2.7</v>
      </c>
      <c r="Y111" s="68">
        <v>2.2999999999999998</v>
      </c>
      <c r="Z111" s="68">
        <v>15000000</v>
      </c>
      <c r="AA111" s="68">
        <v>60</v>
      </c>
      <c r="AB111" s="68">
        <v>3.5000000000000003E-2</v>
      </c>
      <c r="AC111" s="68">
        <v>12.5</v>
      </c>
      <c r="AD111" s="68">
        <v>31.5</v>
      </c>
      <c r="AE111" s="68">
        <v>0</v>
      </c>
      <c r="AF111" s="68">
        <v>0</v>
      </c>
      <c r="AG111" s="68">
        <v>0</v>
      </c>
      <c r="AH111" s="68">
        <v>5.3</v>
      </c>
      <c r="AI111" s="87" t="s">
        <v>37</v>
      </c>
      <c r="AJ111" s="87" t="s">
        <v>38</v>
      </c>
      <c r="AK111" s="68">
        <v>5.3</v>
      </c>
      <c r="AL111" s="68">
        <v>4.45</v>
      </c>
      <c r="AS111" s="38"/>
    </row>
    <row r="112" spans="1:45" s="37" customFormat="1" x14ac:dyDescent="0.25">
      <c r="A112" s="84">
        <f>products_parts[[#This Row],[Total Price]]+ROW()*0.0001</f>
        <v>670.01120000000003</v>
      </c>
      <c r="B112" s="75">
        <f>products_parts[[#This Row],[cap_uf]]/1000000</f>
        <v>2</v>
      </c>
      <c r="C112" s="93">
        <f>products_parts[[#This Row],[Cap]]*products_parts[Total Parallel]/products_parts[Cells in Series]</f>
        <v>26.8</v>
      </c>
      <c r="D112" s="75">
        <f>PI()*((products_parts[[#This Row],[diameter]]/2)^2)*products_parts[[#This Row],[length]]/1000000</f>
        <v>8.0424771931898709E-4</v>
      </c>
      <c r="E112" s="75">
        <f>IF(products_parts[[#This Row],[Volume (L)]]=0,products_parts[[#This Row],[Height]]*products_parts[[#This Row],[length]]*products_parts[[#This Row],[Width Total]]/1000000,products_parts[[#This Row],[Volume (L)]])</f>
        <v>8.0424771931898709E-4</v>
      </c>
      <c r="F112" s="75">
        <f>products_parts[esr_dc]*products_parts[Cells in Series]/products_parts[Total Parallel]</f>
        <v>26.119402985074625</v>
      </c>
      <c r="G112" s="75">
        <f>IF(products_parts[[#This Row],[height2]]=0,products_parts[[#This Row],[length]]-products_parts[[#This Row],[lead_space_s]],products_parts[[#This Row],[height2]])</f>
        <v>12.5</v>
      </c>
      <c r="H112" s="85">
        <f>IF(products_parts[[#This Row],[thickness]]=0,IF(products_parts[[#This Row],[width]]=0,products_parts[[#This Row],[diameter]],products_parts[[#This Row],[width]]),products_parts[[#This Row],[thickness]])</f>
        <v>8</v>
      </c>
      <c r="I112" s="85">
        <f>IF(products_parts[[#This Row],[voltage]]=0,1000,ROUNDUP(WorkingV/products_parts[Operating Voltage (temp)],0))</f>
        <v>5</v>
      </c>
      <c r="J112" s="75">
        <f>ROUNDUP(Constant/(WorkingV-MinV)*((products_parts[esr_dc]/1000*products_parts[[#This Row],[Cap]])+Time)*products_parts[[#This Row],[Cells in Series]]/products_parts[[#This Row],[Cap]],0)</f>
        <v>67</v>
      </c>
      <c r="K112" s="78">
        <f>ROUNDUP(((Constant/WorkingV+Constant/MinV)/2)*(((products_parts[esr_dc]/1000*products_parts[Cap]))+Time)/(WorkingV-MinV)*(products_parts[[#This Row],[Cells in Series]]/products_parts[Cap]),0)</f>
        <v>7</v>
      </c>
      <c r="L112" s="79">
        <f>IF(Calculations!$J$2=1,products_parts[Cells in Parallel],products_parts[Parallel CP])</f>
        <v>67</v>
      </c>
      <c r="M112" s="75">
        <f>products_parts[[#This Row],[Cells in Series]]*products_parts[[#This Row],[Total Parallel]]</f>
        <v>335</v>
      </c>
      <c r="N112" s="76">
        <f>products_parts[[#This Row],[Price per Cell]]*products_parts[[#This Row],[Total '# of Caps]]</f>
        <v>670</v>
      </c>
      <c r="O112" s="77">
        <f>products_parts[[#This Row],[Calculated Volume]]*products_parts[[#This Row],[Total '# of Caps]]</f>
        <v>0.26942298597186065</v>
      </c>
      <c r="P112" s="77">
        <f>products_parts[[#This Row],[weight]]*products_parts[[#This Row],[Total '# of Caps]]</f>
        <v>435.5</v>
      </c>
      <c r="Q112" s="78" t="b">
        <f>AND(products_parts[[#This Row],[Height]]&gt;MIN(Calculations!$K$2,Calculations!$L$2),products_parts[[#This Row],[Height]]&lt;MAX(Calculations!$K$2,Calculations!$L$2))</f>
        <v>1</v>
      </c>
      <c r="R112" s="86">
        <f>IF(ISNUMBER(SEARCH("TPL",products_parts[[#This Row],[series]])),1,IF(products_parts[[#This Row],[series]]="PC",1,IF(ISNUMBER(SEARCH("PBL",products_parts[[#This Row],[series]])),2,2)))</f>
        <v>1</v>
      </c>
      <c r="S112" s="78" t="str">
        <f>IF(TempRange=2,IF(products_parts[[#This Row],[voltage2]]=0,"0","1"),"1")</f>
        <v>1</v>
      </c>
      <c r="T112" s="78">
        <f>IF(TempRange=1,products_parts[voltage],products_parts[voltage2])</f>
        <v>2.7</v>
      </c>
      <c r="U112" s="79" t="str">
        <f>IF(ISNUMBER(SEARCH("PBL ",products_parts[series])),"PBL",products_parts[series])</f>
        <v>TPL</v>
      </c>
      <c r="V112" s="87" t="s">
        <v>41</v>
      </c>
      <c r="W112" s="87" t="s">
        <v>5</v>
      </c>
      <c r="X112" s="68">
        <v>2.7</v>
      </c>
      <c r="Y112" s="68">
        <v>2.2999999999999998</v>
      </c>
      <c r="Z112" s="68">
        <v>2000000</v>
      </c>
      <c r="AA112" s="68">
        <v>350</v>
      </c>
      <c r="AB112" s="68">
        <v>0.01</v>
      </c>
      <c r="AC112" s="68">
        <v>8</v>
      </c>
      <c r="AD112" s="68">
        <v>16</v>
      </c>
      <c r="AE112" s="68">
        <v>0</v>
      </c>
      <c r="AF112" s="68">
        <v>0</v>
      </c>
      <c r="AG112" s="68">
        <v>0</v>
      </c>
      <c r="AH112" s="68">
        <v>3.5</v>
      </c>
      <c r="AI112" s="87" t="s">
        <v>37</v>
      </c>
      <c r="AJ112" s="87" t="s">
        <v>38</v>
      </c>
      <c r="AK112" s="68">
        <v>1.3</v>
      </c>
      <c r="AL112" s="68">
        <v>2</v>
      </c>
      <c r="AS112" s="38"/>
    </row>
    <row r="113" spans="1:76" s="37" customFormat="1" x14ac:dyDescent="0.25">
      <c r="A113" s="84">
        <f>products_parts[[#This Row],[Total Price]]+ROW()*0.0001</f>
        <v>155.76130000000001</v>
      </c>
      <c r="B113" s="75">
        <f>products_parts[[#This Row],[cap_uf]]/1000000</f>
        <v>22</v>
      </c>
      <c r="C113" s="93">
        <f>products_parts[[#This Row],[Cap]]*products_parts[Total Parallel]/products_parts[Cells in Series]</f>
        <v>30.8</v>
      </c>
      <c r="D113" s="75">
        <f>PI()*((products_parts[[#This Row],[diameter]]/2)^2)*products_parts[[#This Row],[length]]/1000000</f>
        <v>4.3565054375952214E-3</v>
      </c>
      <c r="E113" s="75">
        <f>IF(products_parts[[#This Row],[Volume (L)]]=0,products_parts[[#This Row],[Height]]*products_parts[[#This Row],[length]]*products_parts[[#This Row],[Width Total]]/1000000,products_parts[[#This Row],[Volume (L)]])</f>
        <v>4.3565054375952214E-3</v>
      </c>
      <c r="F113" s="75">
        <f>products_parts[esr_dc]*products_parts[Cells in Series]/products_parts[Total Parallel]</f>
        <v>32.142857142857146</v>
      </c>
      <c r="G113" s="75">
        <f>IF(products_parts[[#This Row],[height2]]=0,products_parts[[#This Row],[length]]-products_parts[[#This Row],[lead_space_s]],products_parts[[#This Row],[height2]])</f>
        <v>30.2</v>
      </c>
      <c r="H113" s="85">
        <f>IF(products_parts[[#This Row],[thickness]]=0,IF(products_parts[[#This Row],[width]]=0,products_parts[[#This Row],[diameter]],products_parts[[#This Row],[width]]),products_parts[[#This Row],[thickness]])</f>
        <v>12.5</v>
      </c>
      <c r="I113" s="85">
        <f>IF(products_parts[[#This Row],[voltage]]=0,1000,ROUNDUP(WorkingV/products_parts[Operating Voltage (temp)],0))</f>
        <v>5</v>
      </c>
      <c r="J113" s="75">
        <f>ROUNDUP(Constant/(WorkingV-MinV)*((products_parts[esr_dc]/1000*products_parts[[#This Row],[Cap]])+Time)*products_parts[[#This Row],[Cells in Series]]/products_parts[[#This Row],[Cap]],0)</f>
        <v>7</v>
      </c>
      <c r="K113" s="78">
        <f>ROUNDUP(((Constant/WorkingV+Constant/MinV)/2)*(((products_parts[esr_dc]/1000*products_parts[Cap]))+Time)/(WorkingV-MinV)*(products_parts[[#This Row],[Cells in Series]]/products_parts[Cap]),0)</f>
        <v>1</v>
      </c>
      <c r="L113" s="79">
        <f>IF(Calculations!$J$2=1,products_parts[Cells in Parallel],products_parts[Parallel CP])</f>
        <v>7</v>
      </c>
      <c r="M113" s="75">
        <f>products_parts[[#This Row],[Cells in Series]]*products_parts[[#This Row],[Total Parallel]]</f>
        <v>35</v>
      </c>
      <c r="N113" s="76">
        <f>products_parts[[#This Row],[Price per Cell]]*products_parts[[#This Row],[Total '# of Caps]]</f>
        <v>155.75</v>
      </c>
      <c r="O113" s="77">
        <f>products_parts[[#This Row],[Calculated Volume]]*products_parts[[#This Row],[Total '# of Caps]]</f>
        <v>0.15247769031583275</v>
      </c>
      <c r="P113" s="77">
        <f>products_parts[[#This Row],[weight]]*products_parts[[#This Row],[Total '# of Caps]]</f>
        <v>227.5</v>
      </c>
      <c r="Q113" s="78" t="b">
        <f>AND(products_parts[[#This Row],[Height]]&gt;MIN(Calculations!$K$2,Calculations!$L$2),products_parts[[#This Row],[Height]]&lt;MAX(Calculations!$K$2,Calculations!$L$2))</f>
        <v>1</v>
      </c>
      <c r="R113" s="86">
        <f>IF(ISNUMBER(SEARCH("TPL",products_parts[[#This Row],[series]])),1,IF(products_parts[[#This Row],[series]]="PC",1,IF(ISNUMBER(SEARCH("PBL",products_parts[[#This Row],[series]])),2,2)))</f>
        <v>1</v>
      </c>
      <c r="S113" s="86" t="str">
        <f>IF(TempRange=2,IF(products_parts[[#This Row],[voltage2]]=0,"0","1"),"1")</f>
        <v>1</v>
      </c>
      <c r="T113" s="79">
        <f>IF(TempRange=1,products_parts[voltage],products_parts[voltage2])</f>
        <v>2.7</v>
      </c>
      <c r="U113" s="79" t="str">
        <f>IF(ISNUMBER(SEARCH("PBL ",products_parts[series])),"PBL",products_parts[series])</f>
        <v>TPL</v>
      </c>
      <c r="V113" s="87" t="s">
        <v>41</v>
      </c>
      <c r="W113" s="87" t="s">
        <v>6</v>
      </c>
      <c r="X113" s="68">
        <v>2.7</v>
      </c>
      <c r="Y113" s="68">
        <v>2.2999999999999998</v>
      </c>
      <c r="Z113" s="68">
        <v>22000000</v>
      </c>
      <c r="AA113" s="68">
        <v>45</v>
      </c>
      <c r="AB113" s="68">
        <v>5.5E-2</v>
      </c>
      <c r="AC113" s="68">
        <v>12.5</v>
      </c>
      <c r="AD113" s="68">
        <v>35.5</v>
      </c>
      <c r="AE113" s="68">
        <v>0</v>
      </c>
      <c r="AF113" s="68">
        <v>0</v>
      </c>
      <c r="AG113" s="68">
        <v>0</v>
      </c>
      <c r="AH113" s="68">
        <v>5.3</v>
      </c>
      <c r="AI113" s="87" t="s">
        <v>37</v>
      </c>
      <c r="AJ113" s="87" t="s">
        <v>38</v>
      </c>
      <c r="AK113" s="68">
        <v>6.5</v>
      </c>
      <c r="AL113" s="68">
        <v>4.45</v>
      </c>
      <c r="AS113" s="38"/>
    </row>
    <row r="114" spans="1:76" s="37" customFormat="1" x14ac:dyDescent="0.25">
      <c r="A114" s="84">
        <f>products_parts[[#This Row],[Total Price]]+ROW()*0.0001</f>
        <v>135.01140000000001</v>
      </c>
      <c r="B114" s="75">
        <f>products_parts[[#This Row],[cap_uf]]/1000000</f>
        <v>25</v>
      </c>
      <c r="C114" s="93">
        <f>products_parts[[#This Row],[Cap]]*products_parts[Total Parallel]/products_parts[Cells in Series]</f>
        <v>30</v>
      </c>
      <c r="D114" s="75">
        <f>PI()*((products_parts[[#This Row],[diameter]]/2)^2)*products_parts[[#This Row],[length]]/1000000</f>
        <v>5.2276101755734158E-3</v>
      </c>
      <c r="E114" s="75">
        <f>IF(products_parts[[#This Row],[Volume (L)]]=0,products_parts[[#This Row],[Height]]*products_parts[[#This Row],[length]]*products_parts[[#This Row],[Width Total]]/1000000,products_parts[[#This Row],[Volume (L)]])</f>
        <v>5.2276101755734158E-3</v>
      </c>
      <c r="F114" s="75">
        <f>products_parts[esr_dc]*products_parts[Cells in Series]/products_parts[Total Parallel]</f>
        <v>35</v>
      </c>
      <c r="G114" s="75">
        <f>IF(products_parts[[#This Row],[height2]]=0,products_parts[[#This Row],[length]]-products_parts[[#This Row],[lead_space_s]],products_parts[[#This Row],[height2]])</f>
        <v>18.5</v>
      </c>
      <c r="H114" s="85">
        <f>IF(products_parts[[#This Row],[thickness]]=0,IF(products_parts[[#This Row],[width]]=0,products_parts[[#This Row],[diameter]],products_parts[[#This Row],[width]]),products_parts[[#This Row],[thickness]])</f>
        <v>16</v>
      </c>
      <c r="I114" s="85">
        <f>IF(products_parts[[#This Row],[voltage]]=0,1000,ROUNDUP(WorkingV/products_parts[Operating Voltage (temp)],0))</f>
        <v>5</v>
      </c>
      <c r="J114" s="75">
        <f>ROUNDUP(Constant/(WorkingV-MinV)*((products_parts[esr_dc]/1000*products_parts[[#This Row],[Cap]])+Time)*products_parts[[#This Row],[Cells in Series]]/products_parts[[#This Row],[Cap]],0)</f>
        <v>6</v>
      </c>
      <c r="K114" s="78">
        <f>ROUNDUP(((Constant/WorkingV+Constant/MinV)/2)*(((products_parts[esr_dc]/1000*products_parts[Cap]))+Time)/(WorkingV-MinV)*(products_parts[[#This Row],[Cells in Series]]/products_parts[Cap]),0)</f>
        <v>1</v>
      </c>
      <c r="L114" s="79">
        <f>IF(Calculations!$J$2=1,products_parts[Cells in Parallel],products_parts[Parallel CP])</f>
        <v>6</v>
      </c>
      <c r="M114" s="75">
        <f>products_parts[[#This Row],[Cells in Series]]*products_parts[[#This Row],[Total Parallel]]</f>
        <v>30</v>
      </c>
      <c r="N114" s="76">
        <f>products_parts[[#This Row],[Price per Cell]]*products_parts[[#This Row],[Total '# of Caps]]</f>
        <v>135</v>
      </c>
      <c r="O114" s="77">
        <f>products_parts[[#This Row],[Calculated Volume]]*products_parts[[#This Row],[Total '# of Caps]]</f>
        <v>0.15682830526720248</v>
      </c>
      <c r="P114" s="77">
        <f>products_parts[[#This Row],[weight]]*products_parts[[#This Row],[Total '# of Caps]]</f>
        <v>225</v>
      </c>
      <c r="Q114" s="78" t="b">
        <f>AND(products_parts[[#This Row],[Height]]&gt;MIN(Calculations!$K$2,Calculations!$L$2),products_parts[[#This Row],[Height]]&lt;MAX(Calculations!$K$2,Calculations!$L$2))</f>
        <v>1</v>
      </c>
      <c r="R114" s="86">
        <f>IF(ISNUMBER(SEARCH("TPL",products_parts[[#This Row],[series]])),1,IF(products_parts[[#This Row],[series]]="PC",1,IF(ISNUMBER(SEARCH("PBL",products_parts[[#This Row],[series]])),2,2)))</f>
        <v>1</v>
      </c>
      <c r="S114" s="78" t="str">
        <f>IF(TempRange=2,IF(products_parts[[#This Row],[voltage2]]=0,"0","1"),"1")</f>
        <v>1</v>
      </c>
      <c r="T114" s="78">
        <f>IF(TempRange=1,products_parts[voltage],products_parts[voltage2])</f>
        <v>2.7</v>
      </c>
      <c r="U114" s="79" t="str">
        <f>IF(ISNUMBER(SEARCH("PBL ",products_parts[series])),"PBL",products_parts[series])</f>
        <v>TPL</v>
      </c>
      <c r="V114" s="87" t="s">
        <v>41</v>
      </c>
      <c r="W114" s="87" t="s">
        <v>7</v>
      </c>
      <c r="X114" s="68">
        <v>2.7</v>
      </c>
      <c r="Y114" s="68">
        <v>2.2999999999999998</v>
      </c>
      <c r="Z114" s="68">
        <v>25000000</v>
      </c>
      <c r="AA114" s="68">
        <v>42</v>
      </c>
      <c r="AB114" s="68">
        <v>0.06</v>
      </c>
      <c r="AC114" s="68">
        <v>16</v>
      </c>
      <c r="AD114" s="68">
        <v>26</v>
      </c>
      <c r="AE114" s="68">
        <v>0</v>
      </c>
      <c r="AF114" s="68">
        <v>0</v>
      </c>
      <c r="AG114" s="68">
        <v>0</v>
      </c>
      <c r="AH114" s="68">
        <v>7.5</v>
      </c>
      <c r="AI114" s="87" t="s">
        <v>37</v>
      </c>
      <c r="AJ114" s="87" t="s">
        <v>38</v>
      </c>
      <c r="AK114" s="68">
        <v>7.5</v>
      </c>
      <c r="AL114" s="68">
        <v>4.5</v>
      </c>
      <c r="AS114" s="38"/>
    </row>
    <row r="115" spans="1:76" s="37" customFormat="1" x14ac:dyDescent="0.25">
      <c r="A115" s="84">
        <f>products_parts[[#This Row],[Total Price]]+ROW()*0.0001</f>
        <v>420.01150000000001</v>
      </c>
      <c r="B115" s="75">
        <f>products_parts[[#This Row],[cap_uf]]/1000000</f>
        <v>3.3</v>
      </c>
      <c r="C115" s="93">
        <f>products_parts[[#This Row],[Cap]]*products_parts[Total Parallel]/products_parts[Cells in Series]</f>
        <v>27.72</v>
      </c>
      <c r="D115" s="75">
        <f>PI()*((products_parts[[#This Row],[diameter]]/2)^2)*products_parts[[#This Row],[length]]/1000000</f>
        <v>1.5707963267948967E-3</v>
      </c>
      <c r="E115" s="75">
        <f>IF(products_parts[[#This Row],[Volume (L)]]=0,products_parts[[#This Row],[Height]]*products_parts[[#This Row],[length]]*products_parts[[#This Row],[Width Total]]/1000000,products_parts[[#This Row],[Volume (L)]])</f>
        <v>1.5707963267948967E-3</v>
      </c>
      <c r="F115" s="75">
        <f>products_parts[esr_dc]*products_parts[Cells in Series]/products_parts[Total Parallel]</f>
        <v>34.523809523809526</v>
      </c>
      <c r="G115" s="75">
        <f>IF(products_parts[[#This Row],[height2]]=0,products_parts[[#This Row],[length]]-products_parts[[#This Row],[lead_space_s]],products_parts[[#This Row],[height2]])</f>
        <v>15</v>
      </c>
      <c r="H115" s="85">
        <f>IF(products_parts[[#This Row],[thickness]]=0,IF(products_parts[[#This Row],[width]]=0,products_parts[[#This Row],[diameter]],products_parts[[#This Row],[width]]),products_parts[[#This Row],[thickness]])</f>
        <v>10</v>
      </c>
      <c r="I115" s="85">
        <f>IF(products_parts[[#This Row],[voltage]]=0,1000,ROUNDUP(WorkingV/products_parts[Operating Voltage (temp)],0))</f>
        <v>5</v>
      </c>
      <c r="J115" s="75">
        <f>ROUNDUP(Constant/(WorkingV-MinV)*((products_parts[esr_dc]/1000*products_parts[[#This Row],[Cap]])+Time)*products_parts[[#This Row],[Cells in Series]]/products_parts[[#This Row],[Cap]],0)</f>
        <v>42</v>
      </c>
      <c r="K115" s="79">
        <f>ROUNDUP(((Constant/WorkingV+Constant/MinV)/2)*(((products_parts[esr_dc]/1000*products_parts[Cap]))+Time)/(WorkingV-MinV)*(products_parts[[#This Row],[Cells in Series]]/products_parts[Cap]),0)</f>
        <v>4</v>
      </c>
      <c r="L115" s="79">
        <f>IF(Calculations!$J$2=1,products_parts[Cells in Parallel],products_parts[Parallel CP])</f>
        <v>42</v>
      </c>
      <c r="M115" s="75">
        <f>products_parts[[#This Row],[Cells in Series]]*products_parts[[#This Row],[Total Parallel]]</f>
        <v>210</v>
      </c>
      <c r="N115" s="76">
        <f>products_parts[[#This Row],[Price per Cell]]*products_parts[[#This Row],[Total '# of Caps]]</f>
        <v>420</v>
      </c>
      <c r="O115" s="77">
        <f>products_parts[[#This Row],[Calculated Volume]]*products_parts[[#This Row],[Total '# of Caps]]</f>
        <v>0.3298672286269283</v>
      </c>
      <c r="P115" s="77">
        <f>products_parts[[#This Row],[weight]]*products_parts[[#This Row],[Total '# of Caps]]</f>
        <v>420</v>
      </c>
      <c r="Q115" s="78" t="b">
        <f>AND(products_parts[[#This Row],[Height]]&gt;MIN(Calculations!$K$2,Calculations!$L$2),products_parts[[#This Row],[Height]]&lt;MAX(Calculations!$K$2,Calculations!$L$2))</f>
        <v>1</v>
      </c>
      <c r="R115" s="86">
        <f>IF(ISNUMBER(SEARCH("TPL",products_parts[[#This Row],[series]])),1,IF(products_parts[[#This Row],[series]]="PC",1,IF(ISNUMBER(SEARCH("PBL",products_parts[[#This Row],[series]])),2,2)))</f>
        <v>1</v>
      </c>
      <c r="S115" s="78" t="str">
        <f>IF(TempRange=2,IF(products_parts[[#This Row],[voltage2]]=0,"0","1"),"1")</f>
        <v>1</v>
      </c>
      <c r="T115" s="78">
        <f>IF(TempRange=1,products_parts[voltage],products_parts[voltage2])</f>
        <v>2.7</v>
      </c>
      <c r="U115" s="79" t="str">
        <f>IF(ISNUMBER(SEARCH("PBL ",products_parts[series])),"PBL",products_parts[series])</f>
        <v>TPL</v>
      </c>
      <c r="V115" s="87" t="s">
        <v>41</v>
      </c>
      <c r="W115" s="87" t="s">
        <v>8</v>
      </c>
      <c r="X115" s="68">
        <v>2.7</v>
      </c>
      <c r="Y115" s="68">
        <v>2.2999999999999998</v>
      </c>
      <c r="Z115" s="68">
        <v>3300000</v>
      </c>
      <c r="AA115" s="68">
        <v>290</v>
      </c>
      <c r="AB115" s="68">
        <v>1.2E-2</v>
      </c>
      <c r="AC115" s="68">
        <v>10</v>
      </c>
      <c r="AD115" s="68">
        <v>20</v>
      </c>
      <c r="AE115" s="68">
        <v>0</v>
      </c>
      <c r="AF115" s="68">
        <v>0</v>
      </c>
      <c r="AG115" s="68">
        <v>0</v>
      </c>
      <c r="AH115" s="68">
        <v>5</v>
      </c>
      <c r="AI115" s="87" t="s">
        <v>37</v>
      </c>
      <c r="AJ115" s="87" t="s">
        <v>38</v>
      </c>
      <c r="AK115" s="68">
        <v>2</v>
      </c>
      <c r="AL115" s="68">
        <v>2</v>
      </c>
      <c r="AS115" s="38"/>
    </row>
    <row r="116" spans="1:76" s="37" customFormat="1" x14ac:dyDescent="0.25">
      <c r="A116" s="84">
        <f>products_parts[[#This Row],[Total Price]]+ROW()*0.0001</f>
        <v>420.01159999999999</v>
      </c>
      <c r="B116" s="75">
        <f>products_parts[[#This Row],[cap_uf]]/1000000</f>
        <v>3.3</v>
      </c>
      <c r="C116" s="93">
        <f>products_parts[[#This Row],[Cap]]*products_parts[Total Parallel]/products_parts[Cells in Series]</f>
        <v>27.72</v>
      </c>
      <c r="D116" s="75">
        <f>PI()*((products_parts[[#This Row],[diameter]]/2)^2)*products_parts[[#This Row],[length]]/1000000</f>
        <v>1.0053096491487337E-3</v>
      </c>
      <c r="E116" s="75">
        <f>IF(products_parts[[#This Row],[Volume (L)]]=0,products_parts[[#This Row],[Height]]*products_parts[[#This Row],[length]]*products_parts[[#This Row],[Width Total]]/1000000,products_parts[[#This Row],[Volume (L)]])</f>
        <v>1.0053096491487337E-3</v>
      </c>
      <c r="F116" s="75">
        <f>products_parts[esr_dc]*products_parts[Cells in Series]/products_parts[Total Parallel]</f>
        <v>35.714285714285715</v>
      </c>
      <c r="G116" s="75">
        <f>IF(products_parts[[#This Row],[height2]]=0,products_parts[[#This Row],[length]]-products_parts[[#This Row],[lead_space_s]],products_parts[[#This Row],[height2]])</f>
        <v>16.5</v>
      </c>
      <c r="H116" s="85">
        <f>IF(products_parts[[#This Row],[thickness]]=0,IF(products_parts[[#This Row],[width]]=0,products_parts[[#This Row],[diameter]],products_parts[[#This Row],[width]]),products_parts[[#This Row],[thickness]])</f>
        <v>8</v>
      </c>
      <c r="I116" s="85">
        <f>IF(products_parts[[#This Row],[voltage]]=0,1000,ROUNDUP(WorkingV/products_parts[Operating Voltage (temp)],0))</f>
        <v>5</v>
      </c>
      <c r="J116" s="75">
        <f>ROUNDUP(Constant/(WorkingV-MinV)*((products_parts[esr_dc]/1000*products_parts[[#This Row],[Cap]])+Time)*products_parts[[#This Row],[Cells in Series]]/products_parts[[#This Row],[Cap]],0)</f>
        <v>42</v>
      </c>
      <c r="K116" s="78">
        <f>ROUNDUP(((Constant/WorkingV+Constant/MinV)/2)*(((products_parts[esr_dc]/1000*products_parts[Cap]))+Time)/(WorkingV-MinV)*(products_parts[[#This Row],[Cells in Series]]/products_parts[Cap]),0)</f>
        <v>4</v>
      </c>
      <c r="L116" s="79">
        <f>IF(Calculations!$J$2=1,products_parts[Cells in Parallel],products_parts[Parallel CP])</f>
        <v>42</v>
      </c>
      <c r="M116" s="75">
        <f>products_parts[[#This Row],[Cells in Series]]*products_parts[[#This Row],[Total Parallel]]</f>
        <v>210</v>
      </c>
      <c r="N116" s="76">
        <f>products_parts[[#This Row],[Price per Cell]]*products_parts[[#This Row],[Total '# of Caps]]</f>
        <v>420</v>
      </c>
      <c r="O116" s="77">
        <f>products_parts[[#This Row],[Calculated Volume]]*products_parts[[#This Row],[Total '# of Caps]]</f>
        <v>0.21111502632123408</v>
      </c>
      <c r="P116" s="77">
        <f>products_parts[[#This Row],[weight]]*products_parts[[#This Row],[Total '# of Caps]]</f>
        <v>315</v>
      </c>
      <c r="Q116" s="78" t="b">
        <f>AND(products_parts[[#This Row],[Height]]&gt;MIN(Calculations!$K$2,Calculations!$L$2),products_parts[[#This Row],[Height]]&lt;MAX(Calculations!$K$2,Calculations!$L$2))</f>
        <v>1</v>
      </c>
      <c r="R116" s="86">
        <f>IF(ISNUMBER(SEARCH("TPL",products_parts[[#This Row],[series]])),1,IF(products_parts[[#This Row],[series]]="PC",1,IF(ISNUMBER(SEARCH("PBL",products_parts[[#This Row],[series]])),2,2)))</f>
        <v>1</v>
      </c>
      <c r="S116" s="78" t="str">
        <f>IF(TempRange=2,IF(products_parts[[#This Row],[voltage2]]=0,"0","1"),"1")</f>
        <v>1</v>
      </c>
      <c r="T116" s="79">
        <f>IF(TempRange=1,products_parts[voltage],products_parts[voltage2])</f>
        <v>2.7</v>
      </c>
      <c r="U116" s="79" t="str">
        <f>IF(ISNUMBER(SEARCH("PBL ",products_parts[series])),"PBL",products_parts[series])</f>
        <v>TPL</v>
      </c>
      <c r="V116" s="87" t="s">
        <v>41</v>
      </c>
      <c r="W116" s="87" t="s">
        <v>9</v>
      </c>
      <c r="X116" s="68">
        <v>2.7</v>
      </c>
      <c r="Y116" s="68">
        <v>2.2999999999999998</v>
      </c>
      <c r="Z116" s="68">
        <v>3300000</v>
      </c>
      <c r="AA116" s="68">
        <v>300</v>
      </c>
      <c r="AB116" s="68">
        <v>1.2E-2</v>
      </c>
      <c r="AC116" s="68">
        <v>8</v>
      </c>
      <c r="AD116" s="68">
        <v>20</v>
      </c>
      <c r="AE116" s="68">
        <v>0</v>
      </c>
      <c r="AF116" s="68">
        <v>0</v>
      </c>
      <c r="AG116" s="68">
        <v>0</v>
      </c>
      <c r="AH116" s="68">
        <v>3.5</v>
      </c>
      <c r="AI116" s="87" t="s">
        <v>37</v>
      </c>
      <c r="AJ116" s="87" t="s">
        <v>38</v>
      </c>
      <c r="AK116" s="68">
        <v>1.5</v>
      </c>
      <c r="AL116" s="68">
        <v>2</v>
      </c>
      <c r="AS116" s="38"/>
    </row>
    <row r="117" spans="1:76" s="37" customFormat="1" x14ac:dyDescent="0.25">
      <c r="A117" s="84">
        <f>products_parts[[#This Row],[Total Price]]+ROW()*0.0001</f>
        <v>125.0117</v>
      </c>
      <c r="B117" s="75">
        <f>products_parts[[#This Row],[cap_uf]]/1000000</f>
        <v>30</v>
      </c>
      <c r="C117" s="93">
        <f>products_parts[[#This Row],[Cap]]*products_parts[Total Parallel]/products_parts[Cells in Series]</f>
        <v>30</v>
      </c>
      <c r="D117" s="75">
        <f>PI()*((products_parts[[#This Row],[diameter]]/2)^2)*products_parts[[#This Row],[length]]/1000000</f>
        <v>6.3334507896370233E-3</v>
      </c>
      <c r="E117" s="75">
        <f>IF(products_parts[[#This Row],[Volume (L)]]=0,products_parts[[#This Row],[Height]]*products_parts[[#This Row],[length]]*products_parts[[#This Row],[Width Total]]/1000000,products_parts[[#This Row],[Volume (L)]])</f>
        <v>6.3334507896370233E-3</v>
      </c>
      <c r="F117" s="75">
        <f>products_parts[esr_dc]*products_parts[Cells in Series]/products_parts[Total Parallel]</f>
        <v>35</v>
      </c>
      <c r="G117" s="75">
        <f>IF(products_parts[[#This Row],[height2]]=0,products_parts[[#This Row],[length]]-products_parts[[#This Row],[lead_space_s]],products_parts[[#This Row],[height2]])</f>
        <v>24</v>
      </c>
      <c r="H117" s="85">
        <f>IF(products_parts[[#This Row],[thickness]]=0,IF(products_parts[[#This Row],[width]]=0,products_parts[[#This Row],[diameter]],products_parts[[#This Row],[width]]),products_parts[[#This Row],[thickness]])</f>
        <v>16</v>
      </c>
      <c r="I117" s="85">
        <f>IF(products_parts[[#This Row],[voltage]]=0,1000,ROUNDUP(WorkingV/products_parts[Operating Voltage (temp)],0))</f>
        <v>5</v>
      </c>
      <c r="J117" s="75">
        <f>ROUNDUP(Constant/(WorkingV-MinV)*((products_parts[esr_dc]/1000*products_parts[[#This Row],[Cap]])+Time)*products_parts[[#This Row],[Cells in Series]]/products_parts[[#This Row],[Cap]],0)</f>
        <v>5</v>
      </c>
      <c r="K117" s="79">
        <f>ROUNDUP(((Constant/WorkingV+Constant/MinV)/2)*(((products_parts[esr_dc]/1000*products_parts[Cap]))+Time)/(WorkingV-MinV)*(products_parts[[#This Row],[Cells in Series]]/products_parts[Cap]),0)</f>
        <v>1</v>
      </c>
      <c r="L117" s="79">
        <f>IF(Calculations!$J$2=1,products_parts[Cells in Parallel],products_parts[Parallel CP])</f>
        <v>5</v>
      </c>
      <c r="M117" s="75">
        <f>products_parts[[#This Row],[Cells in Series]]*products_parts[[#This Row],[Total Parallel]]</f>
        <v>25</v>
      </c>
      <c r="N117" s="76">
        <f>products_parts[[#This Row],[Price per Cell]]*products_parts[[#This Row],[Total '# of Caps]]</f>
        <v>125</v>
      </c>
      <c r="O117" s="77">
        <f>products_parts[[#This Row],[Calculated Volume]]*products_parts[[#This Row],[Total '# of Caps]]</f>
        <v>0.15833626974092557</v>
      </c>
      <c r="P117" s="77">
        <f>products_parts[[#This Row],[weight]]*products_parts[[#This Row],[Total '# of Caps]]</f>
        <v>220.00000000000003</v>
      </c>
      <c r="Q117" s="78" t="b">
        <f>AND(products_parts[[#This Row],[Height]]&gt;MIN(Calculations!$K$2,Calculations!$L$2),products_parts[[#This Row],[Height]]&lt;MAX(Calculations!$K$2,Calculations!$L$2))</f>
        <v>1</v>
      </c>
      <c r="R117" s="86">
        <f>IF(ISNUMBER(SEARCH("TPL",products_parts[[#This Row],[series]])),1,IF(products_parts[[#This Row],[series]]="PC",1,IF(ISNUMBER(SEARCH("PBL",products_parts[[#This Row],[series]])),2,2)))</f>
        <v>1</v>
      </c>
      <c r="S117" s="86" t="str">
        <f>IF(TempRange=2,IF(products_parts[[#This Row],[voltage2]]=0,"0","1"),"1")</f>
        <v>1</v>
      </c>
      <c r="T117" s="79">
        <f>IF(TempRange=1,products_parts[voltage],products_parts[voltage2])</f>
        <v>2.7</v>
      </c>
      <c r="U117" s="79" t="str">
        <f>IF(ISNUMBER(SEARCH("PBL ",products_parts[series])),"PBL",products_parts[series])</f>
        <v>TPL</v>
      </c>
      <c r="V117" s="87" t="s">
        <v>41</v>
      </c>
      <c r="W117" s="87" t="s">
        <v>10</v>
      </c>
      <c r="X117" s="68">
        <v>2.7</v>
      </c>
      <c r="Y117" s="68">
        <v>2.2999999999999998</v>
      </c>
      <c r="Z117" s="68">
        <v>30000000</v>
      </c>
      <c r="AA117" s="68">
        <v>35</v>
      </c>
      <c r="AB117" s="68">
        <v>0.08</v>
      </c>
      <c r="AC117" s="68">
        <v>16</v>
      </c>
      <c r="AD117" s="68">
        <v>31.5</v>
      </c>
      <c r="AE117" s="68">
        <v>0</v>
      </c>
      <c r="AF117" s="68">
        <v>0</v>
      </c>
      <c r="AG117" s="68">
        <v>0</v>
      </c>
      <c r="AH117" s="68">
        <v>7.5</v>
      </c>
      <c r="AI117" s="87" t="s">
        <v>37</v>
      </c>
      <c r="AJ117" s="87" t="s">
        <v>38</v>
      </c>
      <c r="AK117" s="68">
        <v>8.8000000000000007</v>
      </c>
      <c r="AL117" s="68">
        <v>5</v>
      </c>
      <c r="AS117" s="38"/>
    </row>
    <row r="118" spans="1:76" s="37" customFormat="1" x14ac:dyDescent="0.25">
      <c r="A118" s="84">
        <f>products_parts[[#This Row],[Total Price]]+ROW()*0.0001</f>
        <v>350.01179999999999</v>
      </c>
      <c r="B118" s="75">
        <f>products_parts[[#This Row],[cap_uf]]/1000000</f>
        <v>4</v>
      </c>
      <c r="C118" s="93">
        <f>products_parts[[#This Row],[Cap]]*products_parts[Total Parallel]/products_parts[Cells in Series]</f>
        <v>28</v>
      </c>
      <c r="D118" s="75">
        <f>PI()*((products_parts[[#This Row],[diameter]]/2)^2)*products_parts[[#This Row],[length]]/1000000</f>
        <v>1.5707963267948967E-3</v>
      </c>
      <c r="E118" s="75">
        <f>IF(products_parts[[#This Row],[Volume (L)]]=0,products_parts[[#This Row],[Height]]*products_parts[[#This Row],[length]]*products_parts[[#This Row],[Width Total]]/1000000,products_parts[[#This Row],[Volume (L)]])</f>
        <v>1.5707963267948967E-3</v>
      </c>
      <c r="F118" s="75">
        <f>products_parts[esr_dc]*products_parts[Cells in Series]/products_parts[Total Parallel]</f>
        <v>35.714285714285715</v>
      </c>
      <c r="G118" s="75">
        <f>IF(products_parts[[#This Row],[height2]]=0,products_parts[[#This Row],[length]]-products_parts[[#This Row],[lead_space_s]],products_parts[[#This Row],[height2]])</f>
        <v>15</v>
      </c>
      <c r="H118" s="85">
        <f>IF(products_parts[[#This Row],[thickness]]=0,IF(products_parts[[#This Row],[width]]=0,products_parts[[#This Row],[diameter]],products_parts[[#This Row],[width]]),products_parts[[#This Row],[thickness]])</f>
        <v>10</v>
      </c>
      <c r="I118" s="85">
        <f>IF(products_parts[[#This Row],[voltage]]=0,1000,ROUNDUP(WorkingV/products_parts[Operating Voltage (temp)],0))</f>
        <v>5</v>
      </c>
      <c r="J118" s="75">
        <f>ROUNDUP(Constant/(WorkingV-MinV)*((products_parts[esr_dc]/1000*products_parts[[#This Row],[Cap]])+Time)*products_parts[[#This Row],[Cells in Series]]/products_parts[[#This Row],[Cap]],0)</f>
        <v>35</v>
      </c>
      <c r="K118" s="78">
        <f>ROUNDUP(((Constant/WorkingV+Constant/MinV)/2)*(((products_parts[esr_dc]/1000*products_parts[Cap]))+Time)/(WorkingV-MinV)*(products_parts[[#This Row],[Cells in Series]]/products_parts[Cap]),0)</f>
        <v>4</v>
      </c>
      <c r="L118" s="79">
        <f>IF(Calculations!$J$2=1,products_parts[Cells in Parallel],products_parts[Parallel CP])</f>
        <v>35</v>
      </c>
      <c r="M118" s="75">
        <f>products_parts[[#This Row],[Cells in Series]]*products_parts[[#This Row],[Total Parallel]]</f>
        <v>175</v>
      </c>
      <c r="N118" s="76">
        <f>products_parts[[#This Row],[Price per Cell]]*products_parts[[#This Row],[Total '# of Caps]]</f>
        <v>350</v>
      </c>
      <c r="O118" s="77">
        <f>products_parts[[#This Row],[Calculated Volume]]*products_parts[[#This Row],[Total '# of Caps]]</f>
        <v>0.2748893571891069</v>
      </c>
      <c r="P118" s="77">
        <f>products_parts[[#This Row],[weight]]*products_parts[[#This Row],[Total '# of Caps]]</f>
        <v>385.00000000000006</v>
      </c>
      <c r="Q118" s="78" t="b">
        <f>AND(products_parts[[#This Row],[Height]]&gt;MIN(Calculations!$K$2,Calculations!$L$2),products_parts[[#This Row],[Height]]&lt;MAX(Calculations!$K$2,Calculations!$L$2))</f>
        <v>1</v>
      </c>
      <c r="R118" s="86">
        <f>IF(ISNUMBER(SEARCH("TPL",products_parts[[#This Row],[series]])),1,IF(products_parts[[#This Row],[series]]="PC",1,IF(ISNUMBER(SEARCH("PBL",products_parts[[#This Row],[series]])),2,2)))</f>
        <v>1</v>
      </c>
      <c r="S118" s="78" t="str">
        <f>IF(TempRange=2,IF(products_parts[[#This Row],[voltage2]]=0,"0","1"),"1")</f>
        <v>1</v>
      </c>
      <c r="T118" s="79">
        <f>IF(TempRange=1,products_parts[voltage],products_parts[voltage2])</f>
        <v>2.7</v>
      </c>
      <c r="U118" s="79" t="str">
        <f>IF(ISNUMBER(SEARCH("PBL ",products_parts[series])),"PBL",products_parts[series])</f>
        <v>TPL</v>
      </c>
      <c r="V118" s="87" t="s">
        <v>41</v>
      </c>
      <c r="W118" s="87" t="s">
        <v>11</v>
      </c>
      <c r="X118" s="68">
        <v>2.7</v>
      </c>
      <c r="Y118" s="68">
        <v>2.2999999999999998</v>
      </c>
      <c r="Z118" s="68">
        <v>4000000</v>
      </c>
      <c r="AA118" s="68">
        <v>250</v>
      </c>
      <c r="AB118" s="68">
        <v>1.4E-2</v>
      </c>
      <c r="AC118" s="68">
        <v>10</v>
      </c>
      <c r="AD118" s="68">
        <v>20</v>
      </c>
      <c r="AE118" s="68">
        <v>0</v>
      </c>
      <c r="AF118" s="68">
        <v>0</v>
      </c>
      <c r="AG118" s="68">
        <v>0</v>
      </c>
      <c r="AH118" s="68">
        <v>5</v>
      </c>
      <c r="AI118" s="87" t="s">
        <v>37</v>
      </c>
      <c r="AJ118" s="87" t="s">
        <v>38</v>
      </c>
      <c r="AK118" s="68">
        <v>2.2000000000000002</v>
      </c>
      <c r="AL118" s="68">
        <v>2</v>
      </c>
      <c r="AS118" s="38"/>
    </row>
    <row r="119" spans="1:76" s="37" customFormat="1" x14ac:dyDescent="0.25">
      <c r="A119" s="84">
        <f>products_parts[[#This Row],[Total Price]]+ROW()*0.0001</f>
        <v>270.01190000000003</v>
      </c>
      <c r="B119" s="75">
        <f>products_parts[[#This Row],[cap_uf]]/1000000</f>
        <v>5</v>
      </c>
      <c r="C119" s="93">
        <f>products_parts[[#This Row],[Cap]]*products_parts[Total Parallel]/products_parts[Cells in Series]</f>
        <v>27</v>
      </c>
      <c r="D119" s="75">
        <f>PI()*((products_parts[[#This Row],[diameter]]/2)^2)*products_parts[[#This Row],[length]]/1000000</f>
        <v>1.5707963267948967E-3</v>
      </c>
      <c r="E119" s="75">
        <f>IF(products_parts[[#This Row],[Volume (L)]]=0,products_parts[[#This Row],[Height]]*products_parts[[#This Row],[length]]*products_parts[[#This Row],[Width Total]]/1000000,products_parts[[#This Row],[Volume (L)]])</f>
        <v>1.5707963267948967E-3</v>
      </c>
      <c r="F119" s="75">
        <f>products_parts[esr_dc]*products_parts[Cells in Series]/products_parts[Total Parallel]</f>
        <v>29.62962962962963</v>
      </c>
      <c r="G119" s="75">
        <f>IF(products_parts[[#This Row],[height2]]=0,products_parts[[#This Row],[length]]-products_parts[[#This Row],[lead_space_s]],products_parts[[#This Row],[height2]])</f>
        <v>15</v>
      </c>
      <c r="H119" s="85">
        <f>IF(products_parts[[#This Row],[thickness]]=0,IF(products_parts[[#This Row],[width]]=0,products_parts[[#This Row],[diameter]],products_parts[[#This Row],[width]]),products_parts[[#This Row],[thickness]])</f>
        <v>10</v>
      </c>
      <c r="I119" s="85">
        <f>IF(products_parts[[#This Row],[voltage]]=0,1000,ROUNDUP(WorkingV/products_parts[Operating Voltage (temp)],0))</f>
        <v>5</v>
      </c>
      <c r="J119" s="75">
        <f>ROUNDUP(Constant/(WorkingV-MinV)*((products_parts[esr_dc]/1000*products_parts[[#This Row],[Cap]])+Time)*products_parts[[#This Row],[Cells in Series]]/products_parts[[#This Row],[Cap]],0)</f>
        <v>27</v>
      </c>
      <c r="K119" s="78">
        <f>ROUNDUP(((Constant/WorkingV+Constant/MinV)/2)*(((products_parts[esr_dc]/1000*products_parts[Cap]))+Time)/(WorkingV-MinV)*(products_parts[[#This Row],[Cells in Series]]/products_parts[Cap]),0)</f>
        <v>3</v>
      </c>
      <c r="L119" s="79">
        <f>IF(Calculations!$J$2=1,products_parts[Cells in Parallel],products_parts[Parallel CP])</f>
        <v>27</v>
      </c>
      <c r="M119" s="75">
        <f>products_parts[[#This Row],[Cells in Series]]*products_parts[[#This Row],[Total Parallel]]</f>
        <v>135</v>
      </c>
      <c r="N119" s="76">
        <f>products_parts[[#This Row],[Price per Cell]]*products_parts[[#This Row],[Total '# of Caps]]</f>
        <v>270</v>
      </c>
      <c r="O119" s="77">
        <f>products_parts[[#This Row],[Calculated Volume]]*products_parts[[#This Row],[Total '# of Caps]]</f>
        <v>0.21205750411731106</v>
      </c>
      <c r="P119" s="77">
        <f>products_parts[[#This Row],[weight]]*products_parts[[#This Row],[Total '# of Caps]]</f>
        <v>310.5</v>
      </c>
      <c r="Q119" s="78" t="b">
        <f>AND(products_parts[[#This Row],[Height]]&gt;MIN(Calculations!$K$2,Calculations!$L$2),products_parts[[#This Row],[Height]]&lt;MAX(Calculations!$K$2,Calculations!$L$2))</f>
        <v>1</v>
      </c>
      <c r="R119" s="86">
        <f>IF(ISNUMBER(SEARCH("TPL",products_parts[[#This Row],[series]])),1,IF(products_parts[[#This Row],[series]]="PC",1,IF(ISNUMBER(SEARCH("PBL",products_parts[[#This Row],[series]])),2,2)))</f>
        <v>1</v>
      </c>
      <c r="S119" s="78" t="str">
        <f>IF(TempRange=2,IF(products_parts[[#This Row],[voltage2]]=0,"0","1"),"1")</f>
        <v>1</v>
      </c>
      <c r="T119" s="78">
        <f>IF(TempRange=1,products_parts[voltage],products_parts[voltage2])</f>
        <v>2.7</v>
      </c>
      <c r="U119" s="79" t="str">
        <f>IF(ISNUMBER(SEARCH("PBL ",products_parts[series])),"PBL",products_parts[series])</f>
        <v>TPL</v>
      </c>
      <c r="V119" s="87" t="s">
        <v>41</v>
      </c>
      <c r="W119" s="87" t="s">
        <v>12</v>
      </c>
      <c r="X119" s="68">
        <v>2.7</v>
      </c>
      <c r="Y119" s="68">
        <v>2.2999999999999998</v>
      </c>
      <c r="Z119" s="68">
        <v>5000000</v>
      </c>
      <c r="AA119" s="68">
        <v>160</v>
      </c>
      <c r="AB119" s="68">
        <v>1.4999999999999999E-2</v>
      </c>
      <c r="AC119" s="68">
        <v>10</v>
      </c>
      <c r="AD119" s="68">
        <v>20</v>
      </c>
      <c r="AE119" s="68">
        <v>0</v>
      </c>
      <c r="AF119" s="68">
        <v>0</v>
      </c>
      <c r="AG119" s="68">
        <v>0</v>
      </c>
      <c r="AH119" s="68">
        <v>5</v>
      </c>
      <c r="AI119" s="87" t="s">
        <v>37</v>
      </c>
      <c r="AJ119" s="87" t="s">
        <v>38</v>
      </c>
      <c r="AK119" s="68">
        <v>2.2999999999999998</v>
      </c>
      <c r="AL119" s="68">
        <v>2</v>
      </c>
      <c r="AS119" s="38"/>
    </row>
    <row r="120" spans="1:76" s="37" customFormat="1" x14ac:dyDescent="0.25">
      <c r="A120" s="84">
        <f>products_parts[[#This Row],[Total Price]]+ROW()*0.0001</f>
        <v>75.012</v>
      </c>
      <c r="B120" s="75">
        <f>products_parts[[#This Row],[cap_uf]]/1000000</f>
        <v>50</v>
      </c>
      <c r="C120" s="93">
        <f>products_parts[[#This Row],[Cap]]*products_parts[Total Parallel]/products_parts[Cells in Series]</f>
        <v>30</v>
      </c>
      <c r="D120" s="75">
        <f>PI()*((products_parts[[#This Row],[diameter]]/2)^2)*products_parts[[#This Row],[length]]/1000000</f>
        <v>1.0178760197630929E-2</v>
      </c>
      <c r="E120" s="75">
        <f>IF(products_parts[[#This Row],[Volume (L)]]=0,products_parts[[#This Row],[Height]]*products_parts[[#This Row],[length]]*products_parts[[#This Row],[Width Total]]/1000000,products_parts[[#This Row],[Volume (L)]])</f>
        <v>1.0178760197630929E-2</v>
      </c>
      <c r="F120" s="75">
        <f>products_parts[esr_dc]*products_parts[Cells in Series]/products_parts[Total Parallel]</f>
        <v>33.333333333333336</v>
      </c>
      <c r="G120" s="75">
        <f>IF(products_parts[[#This Row],[height2]]=0,products_parts[[#This Row],[length]]-products_parts[[#This Row],[lead_space_s]],products_parts[[#This Row],[height2]])</f>
        <v>32.5</v>
      </c>
      <c r="H120" s="85">
        <f>IF(products_parts[[#This Row],[thickness]]=0,IF(products_parts[[#This Row],[width]]=0,products_parts[[#This Row],[diameter]],products_parts[[#This Row],[width]]),products_parts[[#This Row],[thickness]])</f>
        <v>18</v>
      </c>
      <c r="I120" s="85">
        <f>IF(products_parts[[#This Row],[voltage]]=0,1000,ROUNDUP(WorkingV/products_parts[Operating Voltage (temp)],0))</f>
        <v>5</v>
      </c>
      <c r="J120" s="75">
        <f>ROUNDUP(Constant/(WorkingV-MinV)*((products_parts[esr_dc]/1000*products_parts[[#This Row],[Cap]])+Time)*products_parts[[#This Row],[Cells in Series]]/products_parts[[#This Row],[Cap]],0)</f>
        <v>3</v>
      </c>
      <c r="K120" s="78">
        <f>ROUNDUP(((Constant/WorkingV+Constant/MinV)/2)*(((products_parts[esr_dc]/1000*products_parts[Cap]))+Time)/(WorkingV-MinV)*(products_parts[[#This Row],[Cells in Series]]/products_parts[Cap]),0)</f>
        <v>1</v>
      </c>
      <c r="L120" s="79">
        <f>IF(Calculations!$J$2=1,products_parts[Cells in Parallel],products_parts[Parallel CP])</f>
        <v>3</v>
      </c>
      <c r="M120" s="75">
        <f>products_parts[[#This Row],[Cells in Series]]*products_parts[[#This Row],[Total Parallel]]</f>
        <v>15</v>
      </c>
      <c r="N120" s="76">
        <f>products_parts[[#This Row],[Price per Cell]]*products_parts[[#This Row],[Total '# of Caps]]</f>
        <v>75</v>
      </c>
      <c r="O120" s="77">
        <f>products_parts[[#This Row],[Calculated Volume]]*products_parts[[#This Row],[Total '# of Caps]]</f>
        <v>0.15268140296446395</v>
      </c>
      <c r="P120" s="77">
        <f>products_parts[[#This Row],[weight]]*products_parts[[#This Row],[Total '# of Caps]]</f>
        <v>195</v>
      </c>
      <c r="Q120" s="78" t="b">
        <f>AND(products_parts[[#This Row],[Height]]&gt;MIN(Calculations!$K$2,Calculations!$L$2),products_parts[[#This Row],[Height]]&lt;MAX(Calculations!$K$2,Calculations!$L$2))</f>
        <v>1</v>
      </c>
      <c r="R120" s="86">
        <f>IF(ISNUMBER(SEARCH("TPL",products_parts[[#This Row],[series]])),1,IF(products_parts[[#This Row],[series]]="PC",1,IF(ISNUMBER(SEARCH("PBL",products_parts[[#This Row],[series]])),2,2)))</f>
        <v>1</v>
      </c>
      <c r="S120" s="78" t="str">
        <f>IF(TempRange=2,IF(products_parts[[#This Row],[voltage2]]=0,"0","1"),"1")</f>
        <v>1</v>
      </c>
      <c r="T120" s="78">
        <f>IF(TempRange=1,products_parts[voltage],products_parts[voltage2])</f>
        <v>2.7</v>
      </c>
      <c r="U120" s="79" t="str">
        <f>IF(ISNUMBER(SEARCH("PBL ",products_parts[series])),"PBL",products_parts[series])</f>
        <v>TPL</v>
      </c>
      <c r="V120" s="87" t="s">
        <v>41</v>
      </c>
      <c r="W120" s="87" t="s">
        <v>13</v>
      </c>
      <c r="X120" s="68">
        <v>2.7</v>
      </c>
      <c r="Y120" s="68">
        <v>2.2999999999999998</v>
      </c>
      <c r="Z120" s="68">
        <v>50000000</v>
      </c>
      <c r="AA120" s="68">
        <v>20</v>
      </c>
      <c r="AB120" s="68">
        <v>0.13</v>
      </c>
      <c r="AC120" s="68">
        <v>18</v>
      </c>
      <c r="AD120" s="68">
        <v>40</v>
      </c>
      <c r="AE120" s="68">
        <v>0</v>
      </c>
      <c r="AF120" s="68">
        <v>0</v>
      </c>
      <c r="AG120" s="68">
        <v>0</v>
      </c>
      <c r="AH120" s="68">
        <v>7.5</v>
      </c>
      <c r="AI120" s="87" t="s">
        <v>37</v>
      </c>
      <c r="AJ120" s="87" t="s">
        <v>38</v>
      </c>
      <c r="AK120" s="68">
        <v>13</v>
      </c>
      <c r="AL120" s="68">
        <v>5</v>
      </c>
      <c r="AS120" s="38"/>
    </row>
    <row r="121" spans="1:76" s="37" customFormat="1" x14ac:dyDescent="0.25">
      <c r="A121" s="84">
        <f>products_parts[[#This Row],[Total Price]]+ROW()*0.0001</f>
        <v>105.0121</v>
      </c>
      <c r="B121" s="75">
        <f>products_parts[[#This Row],[cap_uf]]/1000000</f>
        <v>70</v>
      </c>
      <c r="C121" s="93">
        <f>products_parts[[#This Row],[Cap]]*products_parts[Total Parallel]/products_parts[Cells in Series]</f>
        <v>42</v>
      </c>
      <c r="D121" s="75">
        <f>PI()*((products_parts[[#This Row],[diameter]]/2)^2)*products_parts[[#This Row],[length]]/1000000</f>
        <v>1.1451105222334796E-2</v>
      </c>
      <c r="E121" s="75">
        <f>IF(products_parts[[#This Row],[Volume (L)]]=0,products_parts[[#This Row],[Height]]*products_parts[[#This Row],[length]]*products_parts[[#This Row],[Width Total]]/1000000,products_parts[[#This Row],[Volume (L)]])</f>
        <v>1.1451105222334796E-2</v>
      </c>
      <c r="F121" s="75">
        <f>products_parts[esr_dc]*products_parts[Cells in Series]/products_parts[Total Parallel]</f>
        <v>33.333333333333336</v>
      </c>
      <c r="G121" s="75">
        <f>IF(products_parts[[#This Row],[height2]]=0,products_parts[[#This Row],[length]]-products_parts[[#This Row],[lead_space_s]],products_parts[[#This Row],[height2]])</f>
        <v>37.5</v>
      </c>
      <c r="H121" s="85">
        <f>IF(products_parts[[#This Row],[thickness]]=0,IF(products_parts[[#This Row],[width]]=0,products_parts[[#This Row],[diameter]],products_parts[[#This Row],[width]]),products_parts[[#This Row],[thickness]])</f>
        <v>18</v>
      </c>
      <c r="I121" s="85">
        <f>IF(products_parts[[#This Row],[voltage]]=0,1000,ROUNDUP(WorkingV/products_parts[Operating Voltage (temp)],0))</f>
        <v>5</v>
      </c>
      <c r="J121" s="75">
        <f>ROUNDUP(Constant/(WorkingV-MinV)*((products_parts[esr_dc]/1000*products_parts[[#This Row],[Cap]])+Time)*products_parts[[#This Row],[Cells in Series]]/products_parts[[#This Row],[Cap]],0)</f>
        <v>3</v>
      </c>
      <c r="K121" s="78">
        <f>ROUNDUP(((Constant/WorkingV+Constant/MinV)/2)*(((products_parts[esr_dc]/1000*products_parts[Cap]))+Time)/(WorkingV-MinV)*(products_parts[[#This Row],[Cells in Series]]/products_parts[Cap]),0)</f>
        <v>1</v>
      </c>
      <c r="L121" s="79">
        <f>IF(Calculations!$J$2=1,products_parts[Cells in Parallel],products_parts[Parallel CP])</f>
        <v>3</v>
      </c>
      <c r="M121" s="75">
        <f>products_parts[[#This Row],[Cells in Series]]*products_parts[[#This Row],[Total Parallel]]</f>
        <v>15</v>
      </c>
      <c r="N121" s="76">
        <f>products_parts[[#This Row],[Price per Cell]]*products_parts[[#This Row],[Total '# of Caps]]</f>
        <v>105</v>
      </c>
      <c r="O121" s="77">
        <f>products_parts[[#This Row],[Calculated Volume]]*products_parts[[#This Row],[Total '# of Caps]]</f>
        <v>0.17176657833502193</v>
      </c>
      <c r="P121" s="77">
        <f>products_parts[[#This Row],[weight]]*products_parts[[#This Row],[Total '# of Caps]]</f>
        <v>247.5</v>
      </c>
      <c r="Q121" s="78" t="b">
        <f>AND(products_parts[[#This Row],[Height]]&gt;MIN(Calculations!$K$2,Calculations!$L$2),products_parts[[#This Row],[Height]]&lt;MAX(Calculations!$K$2,Calculations!$L$2))</f>
        <v>1</v>
      </c>
      <c r="R121" s="86">
        <f>IF(ISNUMBER(SEARCH("TPL",products_parts[[#This Row],[series]])),1,IF(products_parts[[#This Row],[series]]="PC",1,IF(ISNUMBER(SEARCH("PBL",products_parts[[#This Row],[series]])),2,2)))</f>
        <v>1</v>
      </c>
      <c r="S121" s="78" t="str">
        <f>IF(TempRange=2,IF(products_parts[[#This Row],[voltage2]]=0,"0","1"),"1")</f>
        <v>1</v>
      </c>
      <c r="T121" s="78">
        <f>IF(TempRange=1,products_parts[voltage],products_parts[voltage2])</f>
        <v>2.7</v>
      </c>
      <c r="U121" s="79" t="str">
        <f>IF(ISNUMBER(SEARCH("PBL ",products_parts[series])),"PBL",products_parts[series])</f>
        <v>TPL</v>
      </c>
      <c r="V121" s="87" t="s">
        <v>41</v>
      </c>
      <c r="W121" s="87" t="s">
        <v>14</v>
      </c>
      <c r="X121" s="68">
        <v>2.7</v>
      </c>
      <c r="Y121" s="68">
        <v>2.2999999999999998</v>
      </c>
      <c r="Z121" s="68">
        <v>70000000</v>
      </c>
      <c r="AA121" s="68">
        <v>20</v>
      </c>
      <c r="AB121" s="68">
        <v>0.15</v>
      </c>
      <c r="AC121" s="68">
        <v>18</v>
      </c>
      <c r="AD121" s="68">
        <v>45</v>
      </c>
      <c r="AE121" s="68">
        <v>0</v>
      </c>
      <c r="AF121" s="68">
        <v>0</v>
      </c>
      <c r="AG121" s="68">
        <v>0</v>
      </c>
      <c r="AH121" s="68">
        <v>7.5</v>
      </c>
      <c r="AI121" s="87" t="s">
        <v>37</v>
      </c>
      <c r="AJ121" s="87" t="s">
        <v>38</v>
      </c>
      <c r="AK121" s="68">
        <v>16.5</v>
      </c>
      <c r="AL121" s="68">
        <v>7</v>
      </c>
      <c r="AS121" s="38"/>
    </row>
    <row r="122" spans="1:76" s="37" customFormat="1" x14ac:dyDescent="0.25">
      <c r="A122" s="84">
        <f>products_parts[[#This Row],[Total Price]]+ROW()*0.0001</f>
        <v>170.01220000000001</v>
      </c>
      <c r="B122" s="75">
        <f>products_parts[[#This Row],[cap_uf]]/1000000</f>
        <v>8</v>
      </c>
      <c r="C122" s="93">
        <f>products_parts[[#This Row],[Cap]]*products_parts[Total Parallel]/products_parts[Cells in Series]</f>
        <v>27.2</v>
      </c>
      <c r="D122" s="75">
        <f>PI()*((products_parts[[#This Row],[diameter]]/2)^2)*products_parts[[#This Row],[length]]/1000000</f>
        <v>1.9634954084936209E-3</v>
      </c>
      <c r="E122" s="75">
        <f>IF(products_parts[[#This Row],[Volume (L)]]=0,products_parts[[#This Row],[Height]]*products_parts[[#This Row],[length]]*products_parts[[#This Row],[Width Total]]/1000000,products_parts[[#This Row],[Volume (L)]])</f>
        <v>1.9634954084936209E-3</v>
      </c>
      <c r="F122" s="75">
        <f>products_parts[esr_dc]*products_parts[Cells in Series]/products_parts[Total Parallel]</f>
        <v>29.411764705882351</v>
      </c>
      <c r="G122" s="75">
        <f>IF(products_parts[[#This Row],[height2]]=0,products_parts[[#This Row],[length]]-products_parts[[#This Row],[lead_space_s]],products_parts[[#This Row],[height2]])</f>
        <v>20</v>
      </c>
      <c r="H122" s="85">
        <f>IF(products_parts[[#This Row],[thickness]]=0,IF(products_parts[[#This Row],[width]]=0,products_parts[[#This Row],[diameter]],products_parts[[#This Row],[width]]),products_parts[[#This Row],[thickness]])</f>
        <v>10</v>
      </c>
      <c r="I122" s="85">
        <f>IF(products_parts[[#This Row],[voltage]]=0,1000,ROUNDUP(WorkingV/products_parts[Operating Voltage (temp)],0))</f>
        <v>5</v>
      </c>
      <c r="J122" s="75">
        <f>ROUNDUP(Constant/(WorkingV-MinV)*((products_parts[esr_dc]/1000*products_parts[[#This Row],[Cap]])+Time)*products_parts[[#This Row],[Cells in Series]]/products_parts[[#This Row],[Cap]],0)</f>
        <v>17</v>
      </c>
      <c r="K122" s="78">
        <f>ROUNDUP(((Constant/WorkingV+Constant/MinV)/2)*(((products_parts[esr_dc]/1000*products_parts[Cap]))+Time)/(WorkingV-MinV)*(products_parts[[#This Row],[Cells in Series]]/products_parts[Cap]),0)</f>
        <v>2</v>
      </c>
      <c r="L122" s="79">
        <f>IF(Calculations!$J$2=1,products_parts[Cells in Parallel],products_parts[Parallel CP])</f>
        <v>17</v>
      </c>
      <c r="M122" s="75">
        <f>products_parts[[#This Row],[Cells in Series]]*products_parts[[#This Row],[Total Parallel]]</f>
        <v>85</v>
      </c>
      <c r="N122" s="76">
        <f>products_parts[[#This Row],[Price per Cell]]*products_parts[[#This Row],[Total '# of Caps]]</f>
        <v>170</v>
      </c>
      <c r="O122" s="77">
        <f>products_parts[[#This Row],[Calculated Volume]]*products_parts[[#This Row],[Total '# of Caps]]</f>
        <v>0.16689710972195779</v>
      </c>
      <c r="P122" s="77">
        <f>products_parts[[#This Row],[weight]]*products_parts[[#This Row],[Total '# of Caps]]</f>
        <v>255</v>
      </c>
      <c r="Q122" s="78" t="b">
        <f>AND(products_parts[[#This Row],[Height]]&gt;MIN(Calculations!$K$2,Calculations!$L$2),products_parts[[#This Row],[Height]]&lt;MAX(Calculations!$K$2,Calculations!$L$2))</f>
        <v>1</v>
      </c>
      <c r="R122" s="86">
        <f>IF(ISNUMBER(SEARCH("TPL",products_parts[[#This Row],[series]])),1,IF(products_parts[[#This Row],[series]]="PC",1,IF(ISNUMBER(SEARCH("PBL",products_parts[[#This Row],[series]])),2,2)))</f>
        <v>1</v>
      </c>
      <c r="S122" s="78" t="str">
        <f>IF(TempRange=2,IF(products_parts[[#This Row],[voltage2]]=0,"0","1"),"1")</f>
        <v>1</v>
      </c>
      <c r="T122" s="79">
        <f>IF(TempRange=1,products_parts[voltage],products_parts[voltage2])</f>
        <v>2.7</v>
      </c>
      <c r="U122" s="79" t="str">
        <f>IF(ISNUMBER(SEARCH("PBL ",products_parts[series])),"PBL",products_parts[series])</f>
        <v>TPL</v>
      </c>
      <c r="V122" s="87" t="s">
        <v>41</v>
      </c>
      <c r="W122" s="87" t="s">
        <v>15</v>
      </c>
      <c r="X122" s="68">
        <v>2.7</v>
      </c>
      <c r="Y122" s="68">
        <v>2.2999999999999998</v>
      </c>
      <c r="Z122" s="68">
        <v>8000000</v>
      </c>
      <c r="AA122" s="68">
        <v>100</v>
      </c>
      <c r="AB122" s="68">
        <v>0.02</v>
      </c>
      <c r="AC122" s="68">
        <v>10</v>
      </c>
      <c r="AD122" s="68">
        <v>25</v>
      </c>
      <c r="AE122" s="68">
        <v>0</v>
      </c>
      <c r="AF122" s="68">
        <v>0</v>
      </c>
      <c r="AG122" s="68">
        <v>0</v>
      </c>
      <c r="AH122" s="68">
        <v>5</v>
      </c>
      <c r="AI122" s="87" t="s">
        <v>37</v>
      </c>
      <c r="AJ122" s="87" t="s">
        <v>38</v>
      </c>
      <c r="AK122" s="68">
        <v>3</v>
      </c>
      <c r="AL122" s="68">
        <v>2</v>
      </c>
      <c r="AS122" s="38"/>
    </row>
    <row r="123" spans="1:76" s="37" customFormat="1" x14ac:dyDescent="0.25">
      <c r="A123" s="84">
        <f>products_parts[[#This Row],[Total Price]]+ROW()*0.0001</f>
        <v>73.512299999999996</v>
      </c>
      <c r="B123" s="75">
        <f>products_parts[[#This Row],[cap_uf]]/1000000</f>
        <v>100</v>
      </c>
      <c r="C123" s="93">
        <f>products_parts[[#This Row],[Cap]]*products_parts[Total Parallel]/products_parts[Cells in Series]</f>
        <v>40</v>
      </c>
      <c r="D123" s="75">
        <f>PI()*((products_parts[[#This Row],[diameter]]/2)^2)*products_parts[[#This Row],[length]]/1000000</f>
        <v>1.7105971998796425E-2</v>
      </c>
      <c r="E123" s="75">
        <f>IF(products_parts[[#This Row],[Volume (L)]]=0,products_parts[[#This Row],[Height]]*products_parts[[#This Row],[length]]*products_parts[[#This Row],[Width Total]]/1000000,products_parts[[#This Row],[Volume (L)]])</f>
        <v>1.7105971998796425E-2</v>
      </c>
      <c r="F123" s="75">
        <f>products_parts[esr_dc]*products_parts[Cells in Series]/products_parts[Total Parallel]</f>
        <v>37.5</v>
      </c>
      <c r="G123" s="75">
        <f>IF(products_parts[[#This Row],[height2]]=0,products_parts[[#This Row],[length]]-products_parts[[#This Row],[lead_space_s]],products_parts[[#This Row],[height2]])</f>
        <v>45</v>
      </c>
      <c r="H123" s="85">
        <f>IF(products_parts[[#This Row],[thickness]]=0,IF(products_parts[[#This Row],[width]]=0,products_parts[[#This Row],[diameter]],products_parts[[#This Row],[width]]),products_parts[[#This Row],[thickness]])</f>
        <v>22</v>
      </c>
      <c r="I123" s="85">
        <f>IF(products_parts[[#This Row],[voltage]]=0,1000,ROUNDUP(WorkingV/products_parts[Operating Voltage (temp)],0))</f>
        <v>5</v>
      </c>
      <c r="J123" s="75">
        <f>ROUNDUP(Constant/(WorkingV-MinV)*((products_parts[esr_dc]/1000*products_parts[[#This Row],[Cap]])+Time)*products_parts[[#This Row],[Cells in Series]]/products_parts[[#This Row],[Cap]],0)</f>
        <v>2</v>
      </c>
      <c r="K123" s="78">
        <f>ROUNDUP(((Constant/WorkingV+Constant/MinV)/2)*(((products_parts[esr_dc]/1000*products_parts[Cap]))+Time)/(WorkingV-MinV)*(products_parts[[#This Row],[Cells in Series]]/products_parts[Cap]),0)</f>
        <v>1</v>
      </c>
      <c r="L123" s="79">
        <f>IF(Calculations!$J$2=1,products_parts[Cells in Parallel],products_parts[Parallel CP])</f>
        <v>2</v>
      </c>
      <c r="M123" s="75">
        <f>products_parts[[#This Row],[Cells in Series]]*products_parts[[#This Row],[Total Parallel]]</f>
        <v>10</v>
      </c>
      <c r="N123" s="76">
        <f>products_parts[[#This Row],[Price per Cell]]*products_parts[[#This Row],[Total '# of Caps]]</f>
        <v>73.5</v>
      </c>
      <c r="O123" s="77">
        <f>products_parts[[#This Row],[Calculated Volume]]*products_parts[[#This Row],[Total '# of Caps]]</f>
        <v>0.17105971998796426</v>
      </c>
      <c r="P123" s="77">
        <f>products_parts[[#This Row],[weight]]*products_parts[[#This Row],[Total '# of Caps]]</f>
        <v>250</v>
      </c>
      <c r="Q123" s="78" t="b">
        <f>AND(products_parts[[#This Row],[Height]]&gt;MIN(Calculations!$K$2,Calculations!$L$2),products_parts[[#This Row],[Height]]&lt;MAX(Calculations!$K$2,Calculations!$L$2))</f>
        <v>1</v>
      </c>
      <c r="R123" s="86">
        <f>IF(ISNUMBER(SEARCH("TPL",products_parts[[#This Row],[series]])),1,IF(products_parts[[#This Row],[series]]="PC",1,IF(ISNUMBER(SEARCH("PBL",products_parts[[#This Row],[series]])),2,2)))</f>
        <v>1</v>
      </c>
      <c r="S123" s="78" t="str">
        <f>IF(TempRange=2,IF(products_parts[[#This Row],[voltage2]]=0,"0","1"),"1")</f>
        <v>1</v>
      </c>
      <c r="T123" s="78">
        <f>IF(TempRange=1,products_parts[voltage],products_parts[voltage2])</f>
        <v>2.7</v>
      </c>
      <c r="U123" s="79" t="str">
        <f>IF(ISNUMBER(SEARCH("PBL ",products_parts[series])),"PBL",products_parts[series])</f>
        <v>TPLS</v>
      </c>
      <c r="V123" s="87" t="s">
        <v>42</v>
      </c>
      <c r="W123" s="87" t="s">
        <v>16</v>
      </c>
      <c r="X123" s="68">
        <v>2.7</v>
      </c>
      <c r="Y123" s="68">
        <v>2.2999999999999998</v>
      </c>
      <c r="Z123" s="68">
        <v>100000000</v>
      </c>
      <c r="AA123" s="68">
        <v>15</v>
      </c>
      <c r="AB123" s="68">
        <v>0.26</v>
      </c>
      <c r="AC123" s="68">
        <v>22</v>
      </c>
      <c r="AD123" s="68">
        <v>45</v>
      </c>
      <c r="AE123" s="68">
        <v>0</v>
      </c>
      <c r="AF123" s="68">
        <v>0</v>
      </c>
      <c r="AG123" s="68">
        <v>0</v>
      </c>
      <c r="AH123" s="68">
        <v>0</v>
      </c>
      <c r="AI123" s="87" t="s">
        <v>37</v>
      </c>
      <c r="AJ123" s="87" t="s">
        <v>38</v>
      </c>
      <c r="AK123" s="68">
        <v>25</v>
      </c>
      <c r="AL123" s="68">
        <v>7.35</v>
      </c>
      <c r="AS123" s="38"/>
    </row>
    <row r="124" spans="1:76" x14ac:dyDescent="0.25">
      <c r="A124" s="84">
        <f>products_parts[[#This Row],[Total Price]]+ROW()*0.0001</f>
        <v>120.0124</v>
      </c>
      <c r="B124" s="75">
        <f>products_parts[[#This Row],[cap_uf]]/1000000</f>
        <v>150</v>
      </c>
      <c r="C124" s="93">
        <f>products_parts[[#This Row],[Cap]]*products_parts[Total Parallel]/products_parts[Cells in Series]</f>
        <v>60</v>
      </c>
      <c r="D124" s="75">
        <f>PI()*((products_parts[[#This Row],[diameter]]/2)^2)*products_parts[[#This Row],[length]]/1000000</f>
        <v>2.4543692606170259E-2</v>
      </c>
      <c r="E124" s="75">
        <f>IF(products_parts[[#This Row],[Volume (L)]]=0,products_parts[[#This Row],[Height]]*products_parts[[#This Row],[length]]*products_parts[[#This Row],[Width Total]]/1000000,products_parts[[#This Row],[Volume (L)]])</f>
        <v>2.4543692606170259E-2</v>
      </c>
      <c r="F124" s="75">
        <f>products_parts[esr_dc]*products_parts[Cells in Series]/products_parts[Total Parallel]</f>
        <v>35</v>
      </c>
      <c r="G124" s="75">
        <f>IF(products_parts[[#This Row],[height2]]=0,products_parts[[#This Row],[length]]-products_parts[[#This Row],[lead_space_s]],products_parts[[#This Row],[height2]])</f>
        <v>50</v>
      </c>
      <c r="H124" s="75">
        <f>IF(products_parts[[#This Row],[thickness]]=0,IF(products_parts[[#This Row],[width]]=0,products_parts[[#This Row],[diameter]],products_parts[[#This Row],[width]]),products_parts[[#This Row],[thickness]])</f>
        <v>25</v>
      </c>
      <c r="I124" s="75">
        <f>IF(products_parts[[#This Row],[voltage]]=0,1000,ROUNDUP(WorkingV/products_parts[Operating Voltage (temp)],0))</f>
        <v>5</v>
      </c>
      <c r="J124" s="75">
        <f>ROUNDUP(Constant/(WorkingV-MinV)*((products_parts[esr_dc]/1000*products_parts[[#This Row],[Cap]])+Time)*products_parts[[#This Row],[Cells in Series]]/products_parts[[#This Row],[Cap]],0)</f>
        <v>2</v>
      </c>
      <c r="K124" s="78">
        <f>ROUNDUP(((Constant/WorkingV+Constant/MinV)/2)*(((products_parts[esr_dc]/1000*products_parts[Cap]))+Time)/(WorkingV-MinV)*(products_parts[[#This Row],[Cells in Series]]/products_parts[Cap]),0)</f>
        <v>1</v>
      </c>
      <c r="L124" s="78">
        <f>IF(Calculations!$J$2=1,products_parts[Cells in Parallel],products_parts[Parallel CP])</f>
        <v>2</v>
      </c>
      <c r="M124" s="75">
        <f>products_parts[[#This Row],[Cells in Series]]*products_parts[[#This Row],[Total Parallel]]</f>
        <v>10</v>
      </c>
      <c r="N124" s="76">
        <f>products_parts[[#This Row],[Price per Cell]]*products_parts[[#This Row],[Total '# of Caps]]</f>
        <v>120</v>
      </c>
      <c r="O124" s="77">
        <f>products_parts[[#This Row],[Calculated Volume]]*products_parts[[#This Row],[Total '# of Caps]]</f>
        <v>0.24543692606170259</v>
      </c>
      <c r="P124" s="77">
        <f>products_parts[[#This Row],[weight]]*products_parts[[#This Row],[Total '# of Caps]]</f>
        <v>350</v>
      </c>
      <c r="Q124" s="78" t="b">
        <f>AND(products_parts[[#This Row],[Height]]&gt;MIN(Calculations!$K$2,Calculations!$L$2),products_parts[[#This Row],[Height]]&lt;MAX(Calculations!$K$2,Calculations!$L$2))</f>
        <v>1</v>
      </c>
      <c r="R124" s="86">
        <f>IF(ISNUMBER(SEARCH("TPL",products_parts[[#This Row],[series]])),1,IF(products_parts[[#This Row],[series]]="PC",1,IF(ISNUMBER(SEARCH("PBL",products_parts[[#This Row],[series]])),2,2)))</f>
        <v>1</v>
      </c>
      <c r="S124" s="78" t="str">
        <f>IF(TempRange=2,IF(products_parts[[#This Row],[voltage2]]=0,"0","1"),"1")</f>
        <v>1</v>
      </c>
      <c r="T124" s="78">
        <f>IF(TempRange=1,products_parts[voltage],products_parts[voltage2])</f>
        <v>2.7</v>
      </c>
      <c r="U124" s="86" t="str">
        <f>IF(ISNUMBER(SEARCH("PBL ",products_parts[series])),"PBL",products_parts[series])</f>
        <v>TPLS</v>
      </c>
      <c r="V124" s="87" t="s">
        <v>42</v>
      </c>
      <c r="W124" s="87" t="s">
        <v>17</v>
      </c>
      <c r="X124" s="68">
        <v>2.7</v>
      </c>
      <c r="Y124" s="68">
        <v>2.2999999999999998</v>
      </c>
      <c r="Z124" s="68">
        <v>150000000</v>
      </c>
      <c r="AA124" s="68">
        <v>14</v>
      </c>
      <c r="AB124" s="68">
        <v>0.5</v>
      </c>
      <c r="AC124" s="68">
        <v>25</v>
      </c>
      <c r="AD124" s="68">
        <v>50</v>
      </c>
      <c r="AE124" s="68">
        <v>0</v>
      </c>
      <c r="AF124" s="68">
        <v>0</v>
      </c>
      <c r="AG124" s="68">
        <v>0</v>
      </c>
      <c r="AH124" s="68">
        <v>0</v>
      </c>
      <c r="AI124" s="87" t="s">
        <v>37</v>
      </c>
      <c r="AJ124" s="87" t="s">
        <v>38</v>
      </c>
      <c r="AK124" s="68">
        <v>35</v>
      </c>
      <c r="AL124" s="68">
        <v>12</v>
      </c>
      <c r="BO124" s="68"/>
      <c r="BW124" s="72"/>
      <c r="BX124" s="67"/>
    </row>
    <row r="125" spans="1:76" x14ac:dyDescent="0.25">
      <c r="A125" s="84">
        <f>products_parts[[#This Row],[Total Price]]+ROW()*0.0001</f>
        <v>73.512500000000003</v>
      </c>
      <c r="B125" s="75">
        <f>products_parts[[#This Row],[cap_uf]]/1000000</f>
        <v>100</v>
      </c>
      <c r="C125" s="93">
        <f>products_parts[[#This Row],[Cap]]*products_parts[Total Parallel]/products_parts[Cells in Series]</f>
        <v>40</v>
      </c>
      <c r="D125" s="75">
        <f>PI()*((products_parts[[#This Row],[diameter]]/2)^2)*products_parts[[#This Row],[length]]/1000000</f>
        <v>1.7105971998796425E-2</v>
      </c>
      <c r="E125" s="75">
        <f>IF(products_parts[[#This Row],[Volume (L)]]=0,products_parts[[#This Row],[Height]]*products_parts[[#This Row],[length]]*products_parts[[#This Row],[Width Total]]/1000000,products_parts[[#This Row],[Volume (L)]])</f>
        <v>1.7105971998796425E-2</v>
      </c>
      <c r="F125" s="75">
        <f>products_parts[esr_dc]*products_parts[Cells in Series]/products_parts[Total Parallel]</f>
        <v>37.5</v>
      </c>
      <c r="G125" s="75">
        <f>IF(products_parts[[#This Row],[height2]]=0,products_parts[[#This Row],[length]]-products_parts[[#This Row],[lead_space_s]],products_parts[[#This Row],[height2]])</f>
        <v>35.5</v>
      </c>
      <c r="H125" s="75">
        <f>IF(products_parts[[#This Row],[thickness]]=0,IF(products_parts[[#This Row],[width]]=0,products_parts[[#This Row],[diameter]],products_parts[[#This Row],[width]]),products_parts[[#This Row],[thickness]])</f>
        <v>22</v>
      </c>
      <c r="I125" s="75">
        <f>IF(products_parts[[#This Row],[voltage]]=0,1000,ROUNDUP(WorkingV/products_parts[Operating Voltage (temp)],0))</f>
        <v>5</v>
      </c>
      <c r="J125" s="75">
        <f>ROUNDUP(Constant/(WorkingV-MinV)*((products_parts[esr_dc]/1000*products_parts[[#This Row],[Cap]])+Time)*products_parts[[#This Row],[Cells in Series]]/products_parts[[#This Row],[Cap]],0)</f>
        <v>2</v>
      </c>
      <c r="K125" s="78">
        <f>ROUNDUP(((Constant/WorkingV+Constant/MinV)/2)*(((products_parts[esr_dc]/1000*products_parts[Cap]))+Time)/(WorkingV-MinV)*(products_parts[[#This Row],[Cells in Series]]/products_parts[Cap]),0)</f>
        <v>1</v>
      </c>
      <c r="L125" s="78">
        <f>IF(Calculations!$J$2=1,products_parts[Cells in Parallel],products_parts[Parallel CP])</f>
        <v>2</v>
      </c>
      <c r="M125" s="75">
        <f>products_parts[[#This Row],[Cells in Series]]*products_parts[[#This Row],[Total Parallel]]</f>
        <v>10</v>
      </c>
      <c r="N125" s="76">
        <f>products_parts[[#This Row],[Price per Cell]]*products_parts[[#This Row],[Total '# of Caps]]</f>
        <v>73.5</v>
      </c>
      <c r="O125" s="77">
        <f>products_parts[[#This Row],[Calculated Volume]]*products_parts[[#This Row],[Total '# of Caps]]</f>
        <v>0.17105971998796426</v>
      </c>
      <c r="P125" s="77">
        <f>products_parts[[#This Row],[weight]]*products_parts[[#This Row],[Total '# of Caps]]</f>
        <v>230</v>
      </c>
      <c r="Q125" s="78" t="b">
        <f>AND(products_parts[[#This Row],[Height]]&gt;MIN(Calculations!$K$2,Calculations!$L$2),products_parts[[#This Row],[Height]]&lt;MAX(Calculations!$K$2,Calculations!$L$2))</f>
        <v>1</v>
      </c>
      <c r="R125" s="86">
        <f>IF(ISNUMBER(SEARCH("TPL",products_parts[[#This Row],[series]])),1,IF(products_parts[[#This Row],[series]]="PC",1,IF(ISNUMBER(SEARCH("PBL",products_parts[[#This Row],[series]])),2,2)))</f>
        <v>1</v>
      </c>
      <c r="S125" s="78" t="str">
        <f>IF(TempRange=2,IF(products_parts[[#This Row],[voltage2]]=0,"0","1"),"1")</f>
        <v>1</v>
      </c>
      <c r="T125" s="78">
        <f>IF(TempRange=1,products_parts[voltage],products_parts[voltage2])</f>
        <v>2.7</v>
      </c>
      <c r="U125" s="86" t="str">
        <f>IF(ISNUMBER(SEARCH("PBL ",products_parts[series])),"PBL",products_parts[series])</f>
        <v>TPL</v>
      </c>
      <c r="V125" s="87" t="s">
        <v>41</v>
      </c>
      <c r="W125" s="87" t="s">
        <v>23</v>
      </c>
      <c r="X125" s="68">
        <v>2.7</v>
      </c>
      <c r="Y125" s="68">
        <v>2.2999999999999998</v>
      </c>
      <c r="Z125" s="68">
        <v>100000000</v>
      </c>
      <c r="AA125" s="68">
        <v>15</v>
      </c>
      <c r="AB125" s="68">
        <v>0.26</v>
      </c>
      <c r="AC125" s="68">
        <v>22</v>
      </c>
      <c r="AD125" s="68">
        <v>45</v>
      </c>
      <c r="AE125" s="68">
        <v>0</v>
      </c>
      <c r="AF125" s="68">
        <v>0</v>
      </c>
      <c r="AG125" s="68">
        <v>0</v>
      </c>
      <c r="AH125" s="68">
        <v>9.5</v>
      </c>
      <c r="AI125" s="87" t="s">
        <v>37</v>
      </c>
      <c r="AJ125" s="87" t="s">
        <v>38</v>
      </c>
      <c r="AK125" s="68">
        <v>23</v>
      </c>
      <c r="AL125" s="68">
        <v>7.35</v>
      </c>
      <c r="BO125" s="68"/>
      <c r="BW125" s="72"/>
      <c r="BX125" s="67"/>
    </row>
    <row r="126" spans="1:76" x14ac:dyDescent="0.25">
      <c r="A126" s="84">
        <f>products_parts[[#This Row],[Total Price]]+ROW()*0.0001</f>
        <v>73.512600000000006</v>
      </c>
      <c r="B126" s="75">
        <f>products_parts[[#This Row],[cap_uf]]/1000000</f>
        <v>100</v>
      </c>
      <c r="C126" s="93">
        <f>products_parts[[#This Row],[Cap]]*products_parts[Total Parallel]/products_parts[Cells in Series]</f>
        <v>40</v>
      </c>
      <c r="D126" s="75">
        <f>PI()*((products_parts[[#This Row],[diameter]]/2)^2)*products_parts[[#This Row],[length]]/1000000</f>
        <v>1.5268140296446395E-2</v>
      </c>
      <c r="E126" s="75">
        <f>IF(products_parts[[#This Row],[Volume (L)]]=0,products_parts[[#This Row],[Height]]*products_parts[[#This Row],[length]]*products_parts[[#This Row],[Width Total]]/1000000,products_parts[[#This Row],[Volume (L)]])</f>
        <v>1.5268140296446395E-2</v>
      </c>
      <c r="F126" s="75">
        <f>products_parts[esr_dc]*products_parts[Cells in Series]/products_parts[Total Parallel]</f>
        <v>40</v>
      </c>
      <c r="G126" s="75">
        <f>IF(products_parts[[#This Row],[height2]]=0,products_parts[[#This Row],[length]]-products_parts[[#This Row],[lead_space_s]],products_parts[[#This Row],[height2]])</f>
        <v>52.5</v>
      </c>
      <c r="H126" s="75">
        <f>IF(products_parts[[#This Row],[thickness]]=0,IF(products_parts[[#This Row],[width]]=0,products_parts[[#This Row],[diameter]],products_parts[[#This Row],[width]]),products_parts[[#This Row],[thickness]])</f>
        <v>18</v>
      </c>
      <c r="I126" s="75">
        <f>IF(products_parts[[#This Row],[voltage]]=0,1000,ROUNDUP(WorkingV/products_parts[Operating Voltage (temp)],0))</f>
        <v>5</v>
      </c>
      <c r="J126" s="75">
        <f>ROUNDUP(Constant/(WorkingV-MinV)*((products_parts[esr_dc]/1000*products_parts[[#This Row],[Cap]])+Time)*products_parts[[#This Row],[Cells in Series]]/products_parts[[#This Row],[Cap]],0)</f>
        <v>2</v>
      </c>
      <c r="K126" s="78">
        <f>ROUNDUP(((Constant/WorkingV+Constant/MinV)/2)*(((products_parts[esr_dc]/1000*products_parts[Cap]))+Time)/(WorkingV-MinV)*(products_parts[[#This Row],[Cells in Series]]/products_parts[Cap]),0)</f>
        <v>1</v>
      </c>
      <c r="L126" s="78">
        <f>IF(Calculations!$J$2=1,products_parts[Cells in Parallel],products_parts[Parallel CP])</f>
        <v>2</v>
      </c>
      <c r="M126" s="75">
        <f>products_parts[[#This Row],[Cells in Series]]*products_parts[[#This Row],[Total Parallel]]</f>
        <v>10</v>
      </c>
      <c r="N126" s="76">
        <f>products_parts[[#This Row],[Price per Cell]]*products_parts[[#This Row],[Total '# of Caps]]</f>
        <v>73.5</v>
      </c>
      <c r="O126" s="77">
        <f>products_parts[[#This Row],[Calculated Volume]]*products_parts[[#This Row],[Total '# of Caps]]</f>
        <v>0.15268140296446395</v>
      </c>
      <c r="P126" s="77">
        <f>products_parts[[#This Row],[weight]]*products_parts[[#This Row],[Total '# of Caps]]</f>
        <v>220</v>
      </c>
      <c r="Q126" s="78" t="b">
        <f>AND(products_parts[[#This Row],[Height]]&gt;MIN(Calculations!$K$2,Calculations!$L$2),products_parts[[#This Row],[Height]]&lt;MAX(Calculations!$K$2,Calculations!$L$2))</f>
        <v>1</v>
      </c>
      <c r="R126" s="86">
        <f>IF(ISNUMBER(SEARCH("TPL",products_parts[[#This Row],[series]])),1,IF(products_parts[[#This Row],[series]]="PC",1,IF(ISNUMBER(SEARCH("PBL",products_parts[[#This Row],[series]])),2,2)))</f>
        <v>1</v>
      </c>
      <c r="S126" s="78" t="str">
        <f>IF(TempRange=2,IF(products_parts[[#This Row],[voltage2]]=0,"0","1"),"1")</f>
        <v>1</v>
      </c>
      <c r="T126" s="78">
        <f>IF(TempRange=1,products_parts[voltage],products_parts[voltage2])</f>
        <v>2.7</v>
      </c>
      <c r="U126" s="86" t="str">
        <f>IF(ISNUMBER(SEARCH("PBL ",products_parts[series])),"PBL",products_parts[series])</f>
        <v>TPL</v>
      </c>
      <c r="V126" s="87" t="s">
        <v>41</v>
      </c>
      <c r="W126" s="87" t="s">
        <v>24</v>
      </c>
      <c r="X126" s="68">
        <v>2.7</v>
      </c>
      <c r="Y126" s="68">
        <v>2.2999999999999998</v>
      </c>
      <c r="Z126" s="68">
        <v>100000000</v>
      </c>
      <c r="AA126" s="68">
        <v>16</v>
      </c>
      <c r="AB126" s="68">
        <v>0.26</v>
      </c>
      <c r="AC126" s="68">
        <v>18</v>
      </c>
      <c r="AD126" s="68">
        <v>60</v>
      </c>
      <c r="AE126" s="68">
        <v>0</v>
      </c>
      <c r="AF126" s="68">
        <v>0</v>
      </c>
      <c r="AG126" s="68">
        <v>0</v>
      </c>
      <c r="AH126" s="68">
        <v>7.5</v>
      </c>
      <c r="AI126" s="87" t="s">
        <v>37</v>
      </c>
      <c r="AJ126" s="87" t="s">
        <v>38</v>
      </c>
      <c r="AK126" s="68">
        <v>22</v>
      </c>
      <c r="AL126" s="68">
        <v>7.35</v>
      </c>
      <c r="BO126" s="68"/>
      <c r="BW126" s="72"/>
      <c r="BX126" s="67"/>
    </row>
    <row r="127" spans="1:76" x14ac:dyDescent="0.25">
      <c r="A127" s="84">
        <f>products_parts[[#This Row],[Total Price]]+ROW()*0.0001</f>
        <v>230.0127</v>
      </c>
      <c r="B127" s="75">
        <f>products_parts[[#This Row],[cap_uf]]/1000000</f>
        <v>6</v>
      </c>
      <c r="C127" s="93">
        <f>products_parts[[#This Row],[Cap]]*products_parts[Total Parallel]/products_parts[Cells in Series]</f>
        <v>27.6</v>
      </c>
      <c r="D127" s="75">
        <f>PI()*((products_parts[[#This Row],[diameter]]/2)^2)*products_parts[[#This Row],[length]]/1000000</f>
        <v>1.4074335088082274E-3</v>
      </c>
      <c r="E127" s="75">
        <f>IF(products_parts[[#This Row],[Volume (L)]]=0,products_parts[[#This Row],[Height]]*products_parts[[#This Row],[length]]*products_parts[[#This Row],[Width Total]]/1000000,products_parts[[#This Row],[Volume (L)]])</f>
        <v>1.4074335088082274E-3</v>
      </c>
      <c r="F127" s="75">
        <f>products_parts[esr_dc]*products_parts[Cells in Series]/products_parts[Total Parallel]</f>
        <v>30.434782608695652</v>
      </c>
      <c r="G127" s="75">
        <f>IF(products_parts[[#This Row],[height2]]=0,products_parts[[#This Row],[length]]-products_parts[[#This Row],[lead_space_s]],products_parts[[#This Row],[height2]])</f>
        <v>24.5</v>
      </c>
      <c r="H127" s="75">
        <f>IF(products_parts[[#This Row],[thickness]]=0,IF(products_parts[[#This Row],[width]]=0,products_parts[[#This Row],[diameter]],products_parts[[#This Row],[width]]),products_parts[[#This Row],[thickness]])</f>
        <v>8</v>
      </c>
      <c r="I127" s="75">
        <f>IF(products_parts[[#This Row],[voltage]]=0,1000,ROUNDUP(WorkingV/products_parts[Operating Voltage (temp)],0))</f>
        <v>5</v>
      </c>
      <c r="J127" s="75">
        <f>ROUNDUP(Constant/(WorkingV-MinV)*((products_parts[esr_dc]/1000*products_parts[[#This Row],[Cap]])+Time)*products_parts[[#This Row],[Cells in Series]]/products_parts[[#This Row],[Cap]],0)</f>
        <v>23</v>
      </c>
      <c r="K127" s="78">
        <f>ROUNDUP(((Constant/WorkingV+Constant/MinV)/2)*(((products_parts[esr_dc]/1000*products_parts[Cap]))+Time)/(WorkingV-MinV)*(products_parts[[#This Row],[Cells in Series]]/products_parts[Cap]),0)</f>
        <v>3</v>
      </c>
      <c r="L127" s="78">
        <f>IF(Calculations!$J$2=1,products_parts[Cells in Parallel],products_parts[Parallel CP])</f>
        <v>23</v>
      </c>
      <c r="M127" s="75">
        <f>products_parts[[#This Row],[Cells in Series]]*products_parts[[#This Row],[Total Parallel]]</f>
        <v>115</v>
      </c>
      <c r="N127" s="76">
        <f>products_parts[[#This Row],[Price per Cell]]*products_parts[[#This Row],[Total '# of Caps]]</f>
        <v>230</v>
      </c>
      <c r="O127" s="77">
        <f>products_parts[[#This Row],[Calculated Volume]]*products_parts[[#This Row],[Total '# of Caps]]</f>
        <v>0.16185485351294615</v>
      </c>
      <c r="P127" s="77">
        <f>products_parts[[#This Row],[weight]]*products_parts[[#This Row],[Total '# of Caps]]</f>
        <v>264.5</v>
      </c>
      <c r="Q127" s="78" t="b">
        <f>AND(products_parts[[#This Row],[Height]]&gt;MIN(Calculations!$K$2,Calculations!$L$2),products_parts[[#This Row],[Height]]&lt;MAX(Calculations!$K$2,Calculations!$L$2))</f>
        <v>1</v>
      </c>
      <c r="R127" s="86">
        <f>IF(ISNUMBER(SEARCH("TPL",products_parts[[#This Row],[series]])),1,IF(products_parts[[#This Row],[series]]="PC",1,IF(ISNUMBER(SEARCH("PBL",products_parts[[#This Row],[series]])),2,2)))</f>
        <v>1</v>
      </c>
      <c r="S127" s="78" t="str">
        <f>IF(TempRange=2,IF(products_parts[[#This Row],[voltage2]]=0,"0","1"),"1")</f>
        <v>1</v>
      </c>
      <c r="T127" s="78">
        <f>IF(TempRange=1,products_parts[voltage],products_parts[voltage2])</f>
        <v>2.7</v>
      </c>
      <c r="U127" s="86" t="str">
        <f>IF(ISNUMBER(SEARCH("PBL ",products_parts[series])),"PBL",products_parts[series])</f>
        <v>TPL</v>
      </c>
      <c r="V127" s="87" t="s">
        <v>41</v>
      </c>
      <c r="W127" s="87" t="s">
        <v>25</v>
      </c>
      <c r="X127" s="68">
        <v>2.7</v>
      </c>
      <c r="Y127" s="68">
        <v>2.2999999999999998</v>
      </c>
      <c r="Z127" s="68">
        <v>6000000</v>
      </c>
      <c r="AA127" s="68">
        <v>140</v>
      </c>
      <c r="AB127" s="68">
        <v>1.4999999999999999E-2</v>
      </c>
      <c r="AC127" s="68">
        <v>8</v>
      </c>
      <c r="AD127" s="68">
        <v>28</v>
      </c>
      <c r="AE127" s="68">
        <v>0</v>
      </c>
      <c r="AF127" s="68">
        <v>0</v>
      </c>
      <c r="AG127" s="68">
        <v>0</v>
      </c>
      <c r="AH127" s="68">
        <v>3.5</v>
      </c>
      <c r="AI127" s="87" t="s">
        <v>37</v>
      </c>
      <c r="AJ127" s="87" t="s">
        <v>38</v>
      </c>
      <c r="AK127" s="68">
        <v>2.2999999999999998</v>
      </c>
      <c r="AL127" s="68">
        <v>2</v>
      </c>
      <c r="BO127" s="68"/>
      <c r="BW127" s="72"/>
      <c r="BX127" s="67"/>
    </row>
    <row r="128" spans="1:76" x14ac:dyDescent="0.25">
      <c r="A128" s="84">
        <f>products_parts[[#This Row],[Total Price]]+ROW()*0.0001</f>
        <v>230.0128</v>
      </c>
      <c r="B128" s="75">
        <f>products_parts[[#This Row],[cap_uf]]/1000000</f>
        <v>6</v>
      </c>
      <c r="C128" s="93">
        <f>products_parts[[#This Row],[Cap]]*products_parts[Total Parallel]/products_parts[Cells in Series]</f>
        <v>27.6</v>
      </c>
      <c r="D128" s="75">
        <f>PI()*((products_parts[[#This Row],[diameter]]/2)^2)*products_parts[[#This Row],[length]]/1000000</f>
        <v>1.5707963267948967E-3</v>
      </c>
      <c r="E128" s="75">
        <f>IF(products_parts[[#This Row],[Volume (L)]]=0,products_parts[[#This Row],[Height]]*products_parts[[#This Row],[length]]*products_parts[[#This Row],[Width Total]]/1000000,products_parts[[#This Row],[Volume (L)]])</f>
        <v>1.5707963267948967E-3</v>
      </c>
      <c r="F128" s="75">
        <f>products_parts[esr_dc]*products_parts[Cells in Series]/products_parts[Total Parallel]</f>
        <v>28.260869565217391</v>
      </c>
      <c r="G128" s="75">
        <f>IF(products_parts[[#This Row],[height2]]=0,products_parts[[#This Row],[length]]-products_parts[[#This Row],[lead_space_s]],products_parts[[#This Row],[height2]])</f>
        <v>15</v>
      </c>
      <c r="H128" s="75">
        <f>IF(products_parts[[#This Row],[thickness]]=0,IF(products_parts[[#This Row],[width]]=0,products_parts[[#This Row],[diameter]],products_parts[[#This Row],[width]]),products_parts[[#This Row],[thickness]])</f>
        <v>10</v>
      </c>
      <c r="I128" s="75">
        <f>IF(products_parts[[#This Row],[voltage]]=0,1000,ROUNDUP(WorkingV/products_parts[Operating Voltage (temp)],0))</f>
        <v>5</v>
      </c>
      <c r="J128" s="75">
        <f>ROUNDUP(Constant/(WorkingV-MinV)*((products_parts[esr_dc]/1000*products_parts[[#This Row],[Cap]])+Time)*products_parts[[#This Row],[Cells in Series]]/products_parts[[#This Row],[Cap]],0)</f>
        <v>23</v>
      </c>
      <c r="K128" s="78">
        <f>ROUNDUP(((Constant/WorkingV+Constant/MinV)/2)*(((products_parts[esr_dc]/1000*products_parts[Cap]))+Time)/(WorkingV-MinV)*(products_parts[[#This Row],[Cells in Series]]/products_parts[Cap]),0)</f>
        <v>3</v>
      </c>
      <c r="L128" s="78">
        <f>IF(Calculations!$J$2=1,products_parts[Cells in Parallel],products_parts[Parallel CP])</f>
        <v>23</v>
      </c>
      <c r="M128" s="75">
        <f>products_parts[[#This Row],[Cells in Series]]*products_parts[[#This Row],[Total Parallel]]</f>
        <v>115</v>
      </c>
      <c r="N128" s="76">
        <f>products_parts[[#This Row],[Price per Cell]]*products_parts[[#This Row],[Total '# of Caps]]</f>
        <v>230</v>
      </c>
      <c r="O128" s="77">
        <f>products_parts[[#This Row],[Calculated Volume]]*products_parts[[#This Row],[Total '# of Caps]]</f>
        <v>0.18064157758141311</v>
      </c>
      <c r="P128" s="77">
        <f>products_parts[[#This Row],[weight]]*products_parts[[#This Row],[Total '# of Caps]]</f>
        <v>287.5</v>
      </c>
      <c r="Q128" s="78" t="b">
        <f>AND(products_parts[[#This Row],[Height]]&gt;MIN(Calculations!$K$2,Calculations!$L$2),products_parts[[#This Row],[Height]]&lt;MAX(Calculations!$K$2,Calculations!$L$2))</f>
        <v>1</v>
      </c>
      <c r="R128" s="86">
        <f>IF(ISNUMBER(SEARCH("TPL",products_parts[[#This Row],[series]])),1,IF(products_parts[[#This Row],[series]]="PC",1,IF(ISNUMBER(SEARCH("PBL",products_parts[[#This Row],[series]])),2,2)))</f>
        <v>1</v>
      </c>
      <c r="S128" s="78" t="str">
        <f>IF(TempRange=2,IF(products_parts[[#This Row],[voltage2]]=0,"0","1"),"1")</f>
        <v>1</v>
      </c>
      <c r="T128" s="78">
        <f>IF(TempRange=1,products_parts[voltage],products_parts[voltage2])</f>
        <v>2.7</v>
      </c>
      <c r="U128" s="86" t="str">
        <f>IF(ISNUMBER(SEARCH("PBL ",products_parts[series])),"PBL",products_parts[series])</f>
        <v>TPL</v>
      </c>
      <c r="V128" s="87" t="s">
        <v>41</v>
      </c>
      <c r="W128" s="87" t="s">
        <v>19</v>
      </c>
      <c r="X128" s="68">
        <v>2.7</v>
      </c>
      <c r="Y128" s="68">
        <v>2.2999999999999998</v>
      </c>
      <c r="Z128" s="68">
        <v>6000000</v>
      </c>
      <c r="AA128" s="68">
        <v>130</v>
      </c>
      <c r="AB128" s="68">
        <v>1.4999999999999999E-2</v>
      </c>
      <c r="AC128" s="68">
        <v>10</v>
      </c>
      <c r="AD128" s="68">
        <v>20</v>
      </c>
      <c r="AE128" s="68">
        <v>0</v>
      </c>
      <c r="AF128" s="68">
        <v>0</v>
      </c>
      <c r="AG128" s="68">
        <v>0</v>
      </c>
      <c r="AH128" s="68">
        <v>5</v>
      </c>
      <c r="AI128" s="87" t="s">
        <v>37</v>
      </c>
      <c r="AJ128" s="87" t="s">
        <v>38</v>
      </c>
      <c r="AK128" s="68">
        <v>2.5</v>
      </c>
      <c r="AL128" s="68">
        <v>2</v>
      </c>
      <c r="BO128" s="68"/>
      <c r="BW128" s="72"/>
      <c r="BX128" s="67"/>
    </row>
    <row r="129" spans="1:76" x14ac:dyDescent="0.25">
      <c r="A129" s="84">
        <f>products_parts[[#This Row],[Total Price]]+ROW()*0.0001</f>
        <v>1130.0128999999999</v>
      </c>
      <c r="B129" s="75">
        <f>products_parts[[#This Row],[cap_uf]]/1000000</f>
        <v>1.2</v>
      </c>
      <c r="C129" s="93">
        <f>products_parts[[#This Row],[Cap]]*products_parts[Total Parallel]/products_parts[Cells in Series]</f>
        <v>27.119999999999997</v>
      </c>
      <c r="D129" s="75">
        <f>PI()*((products_parts[[#This Row],[diameter]]/2)^2)*products_parts[[#This Row],[length]]/1000000</f>
        <v>4.6758679657867084E-4</v>
      </c>
      <c r="E129" s="75">
        <f>IF(products_parts[[#This Row],[Volume (L)]]=0,products_parts[[#This Row],[Height]]*products_parts[[#This Row],[length]]*products_parts[[#This Row],[Width Total]]/1000000,products_parts[[#This Row],[Volume (L)]])</f>
        <v>4.6758679657867084E-4</v>
      </c>
      <c r="F129" s="75">
        <f>products_parts[esr_dc]*products_parts[Cells in Series]/products_parts[Total Parallel]</f>
        <v>28.761061946902654</v>
      </c>
      <c r="G129" s="75">
        <f>IF(products_parts[[#This Row],[height2]]=0,products_parts[[#This Row],[length]]-products_parts[[#This Row],[lead_space_s]],products_parts[[#This Row],[height2]])</f>
        <v>12.5</v>
      </c>
      <c r="H129" s="75">
        <f>IF(products_parts[[#This Row],[thickness]]=0,IF(products_parts[[#This Row],[width]]=0,products_parts[[#This Row],[diameter]],products_parts[[#This Row],[width]]),products_parts[[#This Row],[thickness]])</f>
        <v>6.3</v>
      </c>
      <c r="I129" s="75">
        <f>IF(products_parts[[#This Row],[voltage]]=0,1000,ROUNDUP(WorkingV/products_parts[Operating Voltage (temp)],0))</f>
        <v>5</v>
      </c>
      <c r="J129" s="75">
        <f>ROUNDUP(Constant/(WorkingV-MinV)*((products_parts[esr_dc]/1000*products_parts[[#This Row],[Cap]])+Time)*products_parts[[#This Row],[Cells in Series]]/products_parts[[#This Row],[Cap]],0)</f>
        <v>113</v>
      </c>
      <c r="K129" s="78">
        <f>ROUNDUP(((Constant/WorkingV+Constant/MinV)/2)*(((products_parts[esr_dc]/1000*products_parts[Cap]))+Time)/(WorkingV-MinV)*(products_parts[[#This Row],[Cells in Series]]/products_parts[Cap]),0)</f>
        <v>11</v>
      </c>
      <c r="L129" s="78">
        <f>IF(Calculations!$J$2=1,products_parts[Cells in Parallel],products_parts[Parallel CP])</f>
        <v>113</v>
      </c>
      <c r="M129" s="75">
        <f>products_parts[[#This Row],[Cells in Series]]*products_parts[[#This Row],[Total Parallel]]</f>
        <v>565</v>
      </c>
      <c r="N129" s="76">
        <f>products_parts[[#This Row],[Price per Cell]]*products_parts[[#This Row],[Total '# of Caps]]</f>
        <v>1130</v>
      </c>
      <c r="O129" s="77">
        <f>products_parts[[#This Row],[Calculated Volume]]*products_parts[[#This Row],[Total '# of Caps]]</f>
        <v>0.26418654006694903</v>
      </c>
      <c r="P129" s="77">
        <f>products_parts[[#This Row],[weight]]*products_parts[[#This Row],[Total '# of Caps]]</f>
        <v>565</v>
      </c>
      <c r="Q129" s="78" t="b">
        <f>AND(products_parts[[#This Row],[Height]]&gt;MIN(Calculations!$K$2,Calculations!$L$2),products_parts[[#This Row],[Height]]&lt;MAX(Calculations!$K$2,Calculations!$L$2))</f>
        <v>1</v>
      </c>
      <c r="R129" s="86">
        <f>IF(ISNUMBER(SEARCH("TPL",products_parts[[#This Row],[series]])),1,IF(products_parts[[#This Row],[series]]="PC",1,IF(ISNUMBER(SEARCH("PBL",products_parts[[#This Row],[series]])),2,2)))</f>
        <v>1</v>
      </c>
      <c r="S129" s="78" t="str">
        <f>IF(TempRange=2,IF(products_parts[[#This Row],[voltage2]]=0,"0","1"),"1")</f>
        <v>1</v>
      </c>
      <c r="T129" s="78">
        <f>IF(TempRange=1,products_parts[voltage],products_parts[voltage2])</f>
        <v>2.7</v>
      </c>
      <c r="U129" s="86" t="str">
        <f>IF(ISNUMBER(SEARCH("PBL ",products_parts[series])),"PBL",products_parts[series])</f>
        <v>TPL</v>
      </c>
      <c r="V129" s="87" t="s">
        <v>41</v>
      </c>
      <c r="W129" s="87" t="s">
        <v>20</v>
      </c>
      <c r="X129" s="68">
        <v>2.7</v>
      </c>
      <c r="Y129" s="68">
        <v>2.2999999999999998</v>
      </c>
      <c r="Z129" s="68">
        <v>1200000</v>
      </c>
      <c r="AA129" s="68">
        <v>650</v>
      </c>
      <c r="AB129" s="68">
        <v>6.0000000000000001E-3</v>
      </c>
      <c r="AC129" s="68">
        <v>6.3</v>
      </c>
      <c r="AD129" s="68">
        <v>15</v>
      </c>
      <c r="AE129" s="68">
        <v>0</v>
      </c>
      <c r="AF129" s="68">
        <v>0</v>
      </c>
      <c r="AG129" s="68">
        <v>0</v>
      </c>
      <c r="AH129" s="68">
        <v>2.5</v>
      </c>
      <c r="AI129" s="87" t="s">
        <v>37</v>
      </c>
      <c r="AJ129" s="87" t="s">
        <v>38</v>
      </c>
      <c r="AK129" s="68">
        <v>1</v>
      </c>
      <c r="AL129" s="68">
        <v>2</v>
      </c>
      <c r="BO129" s="68"/>
      <c r="BW129" s="72"/>
      <c r="BX129" s="67"/>
    </row>
    <row r="130" spans="1:76" x14ac:dyDescent="0.25">
      <c r="A130" s="84">
        <f>products_parts[[#This Row],[Total Price]]+ROW()*0.0001</f>
        <v>118.76300000000001</v>
      </c>
      <c r="B130" s="75">
        <f>products_parts[[#This Row],[cap_uf]]/1000000</f>
        <v>28</v>
      </c>
      <c r="C130" s="93">
        <f>products_parts[[#This Row],[Cap]]*products_parts[Total Parallel]/products_parts[Cells in Series]</f>
        <v>28</v>
      </c>
      <c r="D130" s="75">
        <f>PI()*((products_parts[[#This Row],[diameter]]/2)^2)*products_parts[[#This Row],[length]]/1000000</f>
        <v>4.9087385212340526E-3</v>
      </c>
      <c r="E130" s="75">
        <f>IF(products_parts[[#This Row],[Volume (L)]]=0,products_parts[[#This Row],[Height]]*products_parts[[#This Row],[length]]*products_parts[[#This Row],[Width Total]]/1000000,products_parts[[#This Row],[Volume (L)]])</f>
        <v>4.9087385212340526E-3</v>
      </c>
      <c r="F130" s="75">
        <f>products_parts[esr_dc]*products_parts[Cells in Series]/products_parts[Total Parallel]</f>
        <v>38</v>
      </c>
      <c r="G130" s="75">
        <f>IF(products_parts[[#This Row],[height2]]=0,products_parts[[#This Row],[length]]-products_parts[[#This Row],[lead_space_s]],products_parts[[#This Row],[height2]])</f>
        <v>34.700000000000003</v>
      </c>
      <c r="H130" s="75">
        <f>IF(products_parts[[#This Row],[thickness]]=0,IF(products_parts[[#This Row],[width]]=0,products_parts[[#This Row],[diameter]],products_parts[[#This Row],[width]]),products_parts[[#This Row],[thickness]])</f>
        <v>12.5</v>
      </c>
      <c r="I130" s="75">
        <f>IF(products_parts[[#This Row],[voltage]]=0,1000,ROUNDUP(WorkingV/products_parts[Operating Voltage (temp)],0))</f>
        <v>5</v>
      </c>
      <c r="J130" s="75">
        <f>ROUNDUP(Constant/(WorkingV-MinV)*((products_parts[esr_dc]/1000*products_parts[[#This Row],[Cap]])+Time)*products_parts[[#This Row],[Cells in Series]]/products_parts[[#This Row],[Cap]],0)</f>
        <v>5</v>
      </c>
      <c r="K130" s="78">
        <f>ROUNDUP(((Constant/WorkingV+Constant/MinV)/2)*(((products_parts[esr_dc]/1000*products_parts[Cap]))+Time)/(WorkingV-MinV)*(products_parts[[#This Row],[Cells in Series]]/products_parts[Cap]),0)</f>
        <v>1</v>
      </c>
      <c r="L130" s="78">
        <f>IF(Calculations!$J$2=1,products_parts[Cells in Parallel],products_parts[Parallel CP])</f>
        <v>5</v>
      </c>
      <c r="M130" s="75">
        <f>products_parts[[#This Row],[Cells in Series]]*products_parts[[#This Row],[Total Parallel]]</f>
        <v>25</v>
      </c>
      <c r="N130" s="76">
        <f>products_parts[[#This Row],[Price per Cell]]*products_parts[[#This Row],[Total '# of Caps]]</f>
        <v>118.75</v>
      </c>
      <c r="O130" s="77">
        <f>products_parts[[#This Row],[Calculated Volume]]*products_parts[[#This Row],[Total '# of Caps]]</f>
        <v>0.12271846303085132</v>
      </c>
      <c r="P130" s="77">
        <f>products_parts[[#This Row],[weight]]*products_parts[[#This Row],[Total '# of Caps]]</f>
        <v>182.5</v>
      </c>
      <c r="Q130" s="78" t="b">
        <f>AND(products_parts[[#This Row],[Height]]&gt;MIN(Calculations!$K$2,Calculations!$L$2),products_parts[[#This Row],[Height]]&lt;MAX(Calculations!$K$2,Calculations!$L$2))</f>
        <v>1</v>
      </c>
      <c r="R130" s="86">
        <f>IF(ISNUMBER(SEARCH("TPL",products_parts[[#This Row],[series]])),1,IF(products_parts[[#This Row],[series]]="PC",1,IF(ISNUMBER(SEARCH("PBL",products_parts[[#This Row],[series]])),2,2)))</f>
        <v>1</v>
      </c>
      <c r="S130" s="78" t="str">
        <f>IF(TempRange=2,IF(products_parts[[#This Row],[voltage2]]=0,"0","1"),"1")</f>
        <v>1</v>
      </c>
      <c r="T130" s="78">
        <f>IF(TempRange=1,products_parts[voltage],products_parts[voltage2])</f>
        <v>2.7</v>
      </c>
      <c r="U130" s="86" t="str">
        <f>IF(ISNUMBER(SEARCH("PBL ",products_parts[series])),"PBL",products_parts[series])</f>
        <v>TPL</v>
      </c>
      <c r="V130" s="87" t="s">
        <v>41</v>
      </c>
      <c r="W130" s="87" t="s">
        <v>21</v>
      </c>
      <c r="X130" s="68">
        <v>2.7</v>
      </c>
      <c r="Y130" s="68">
        <v>2.2999999999999998</v>
      </c>
      <c r="Z130" s="68">
        <v>28000000</v>
      </c>
      <c r="AA130" s="68">
        <v>38</v>
      </c>
      <c r="AB130" s="68">
        <v>0.06</v>
      </c>
      <c r="AC130" s="68">
        <v>12.5</v>
      </c>
      <c r="AD130" s="68">
        <v>40</v>
      </c>
      <c r="AE130" s="68">
        <v>0</v>
      </c>
      <c r="AF130" s="68">
        <v>0</v>
      </c>
      <c r="AG130" s="68">
        <v>0</v>
      </c>
      <c r="AH130" s="68">
        <v>5.3</v>
      </c>
      <c r="AI130" s="87" t="s">
        <v>37</v>
      </c>
      <c r="AJ130" s="87" t="s">
        <v>38</v>
      </c>
      <c r="AK130" s="68">
        <v>7.3</v>
      </c>
      <c r="AL130" s="68">
        <v>4.75</v>
      </c>
      <c r="BO130" s="68"/>
      <c r="BW130" s="72"/>
      <c r="BX130" s="67"/>
    </row>
    <row r="131" spans="1:76" x14ac:dyDescent="0.25">
      <c r="A131" s="84">
        <f>products_parts[[#This Row],[Total Price]]+ROW()*0.0001</f>
        <v>97.513099999999994</v>
      </c>
      <c r="B131" s="75">
        <f>products_parts[[#This Row],[cap_uf]]/1000000</f>
        <v>60</v>
      </c>
      <c r="C131" s="93">
        <f>products_parts[[#This Row],[Cap]]*products_parts[Total Parallel]/products_parts[Cells in Series]</f>
        <v>36</v>
      </c>
      <c r="D131" s="75">
        <f>PI()*((products_parts[[#This Row],[diameter]]/2)^2)*products_parts[[#This Row],[length]]/1000000</f>
        <v>1.0178760197630929E-2</v>
      </c>
      <c r="E131" s="75">
        <f>IF(products_parts[[#This Row],[Volume (L)]]=0,products_parts[[#This Row],[Height]]*products_parts[[#This Row],[length]]*products_parts[[#This Row],[Width Total]]/1000000,products_parts[[#This Row],[Volume (L)]])</f>
        <v>1.0178760197630929E-2</v>
      </c>
      <c r="F131" s="75">
        <f>products_parts[esr_dc]*products_parts[Cells in Series]/products_parts[Total Parallel]</f>
        <v>33.333333333333336</v>
      </c>
      <c r="G131" s="75">
        <f>IF(products_parts[[#This Row],[height2]]=0,products_parts[[#This Row],[length]]-products_parts[[#This Row],[lead_space_s]],products_parts[[#This Row],[height2]])</f>
        <v>32.5</v>
      </c>
      <c r="H131" s="75">
        <f>IF(products_parts[[#This Row],[thickness]]=0,IF(products_parts[[#This Row],[width]]=0,products_parts[[#This Row],[diameter]],products_parts[[#This Row],[width]]),products_parts[[#This Row],[thickness]])</f>
        <v>18</v>
      </c>
      <c r="I131" s="75">
        <f>IF(products_parts[[#This Row],[voltage]]=0,1000,ROUNDUP(WorkingV/products_parts[Operating Voltage (temp)],0))</f>
        <v>5</v>
      </c>
      <c r="J131" s="75">
        <f>ROUNDUP(Constant/(WorkingV-MinV)*((products_parts[esr_dc]/1000*products_parts[[#This Row],[Cap]])+Time)*products_parts[[#This Row],[Cells in Series]]/products_parts[[#This Row],[Cap]],0)</f>
        <v>3</v>
      </c>
      <c r="K131" s="78">
        <f>ROUNDUP(((Constant/WorkingV+Constant/MinV)/2)*(((products_parts[esr_dc]/1000*products_parts[Cap]))+Time)/(WorkingV-MinV)*(products_parts[[#This Row],[Cells in Series]]/products_parts[Cap]),0)</f>
        <v>1</v>
      </c>
      <c r="L131" s="78">
        <f>IF(Calculations!$J$2=1,products_parts[Cells in Parallel],products_parts[Parallel CP])</f>
        <v>3</v>
      </c>
      <c r="M131" s="75">
        <f>products_parts[[#This Row],[Cells in Series]]*products_parts[[#This Row],[Total Parallel]]</f>
        <v>15</v>
      </c>
      <c r="N131" s="76">
        <f>products_parts[[#This Row],[Price per Cell]]*products_parts[[#This Row],[Total '# of Caps]]</f>
        <v>97.5</v>
      </c>
      <c r="O131" s="77">
        <f>products_parts[[#This Row],[Calculated Volume]]*products_parts[[#This Row],[Total '# of Caps]]</f>
        <v>0.15268140296446395</v>
      </c>
      <c r="P131" s="77">
        <f>products_parts[[#This Row],[weight]]*products_parts[[#This Row],[Total '# of Caps]]</f>
        <v>225</v>
      </c>
      <c r="Q131" s="78" t="b">
        <f>AND(products_parts[[#This Row],[Height]]&gt;MIN(Calculations!$K$2,Calculations!$L$2),products_parts[[#This Row],[Height]]&lt;MAX(Calculations!$K$2,Calculations!$L$2))</f>
        <v>1</v>
      </c>
      <c r="R131" s="86">
        <f>IF(ISNUMBER(SEARCH("TPL",products_parts[[#This Row],[series]])),1,IF(products_parts[[#This Row],[series]]="PC",1,IF(ISNUMBER(SEARCH("PBL",products_parts[[#This Row],[series]])),2,2)))</f>
        <v>1</v>
      </c>
      <c r="S131" s="78" t="str">
        <f>IF(TempRange=2,IF(products_parts[[#This Row],[voltage2]]=0,"0","1"),"1")</f>
        <v>1</v>
      </c>
      <c r="T131" s="78">
        <f>IF(TempRange=1,products_parts[voltage],products_parts[voltage2])</f>
        <v>2.7</v>
      </c>
      <c r="U131" s="86" t="str">
        <f>IF(ISNUMBER(SEARCH("PBL ",products_parts[series])),"PBL",products_parts[series])</f>
        <v>TPL</v>
      </c>
      <c r="V131" s="87" t="s">
        <v>41</v>
      </c>
      <c r="W131" s="87" t="s">
        <v>18</v>
      </c>
      <c r="X131" s="68">
        <v>2.7</v>
      </c>
      <c r="Y131" s="68">
        <v>2.2999999999999998</v>
      </c>
      <c r="Z131" s="68">
        <v>60000000</v>
      </c>
      <c r="AA131" s="68">
        <v>20</v>
      </c>
      <c r="AB131" s="68">
        <v>0.13</v>
      </c>
      <c r="AC131" s="68">
        <v>18</v>
      </c>
      <c r="AD131" s="68">
        <v>40</v>
      </c>
      <c r="AE131" s="68">
        <v>0</v>
      </c>
      <c r="AF131" s="68">
        <v>0</v>
      </c>
      <c r="AG131" s="68">
        <v>0</v>
      </c>
      <c r="AH131" s="68">
        <v>7.5</v>
      </c>
      <c r="AI131" s="87" t="s">
        <v>37</v>
      </c>
      <c r="AJ131" s="87" t="s">
        <v>38</v>
      </c>
      <c r="AK131" s="68">
        <v>15</v>
      </c>
      <c r="AL131" s="68">
        <v>6.5</v>
      </c>
      <c r="BO131" s="68"/>
      <c r="BW131" s="72"/>
      <c r="BX131" s="67"/>
    </row>
    <row r="132" spans="1:76" x14ac:dyDescent="0.25">
      <c r="A132" s="84">
        <f>products_parts[[#This Row],[Total Price]]+ROW()*0.0001</f>
        <v>146.26320000000001</v>
      </c>
      <c r="B132" s="75">
        <f>products_parts[[#This Row],[cap_uf]]/1000000</f>
        <v>11</v>
      </c>
      <c r="C132" s="93">
        <f>products_parts[[#This Row],[Cap]]*products_parts[Total Parallel]/products_parts[Cells in Series]</f>
        <v>28.6</v>
      </c>
      <c r="D132" s="75">
        <f>PI()*((products_parts[[#This Row],[diameter]]/2)^2)*products_parts[[#This Row],[length]]/1000000</f>
        <v>2.3561944901923449E-3</v>
      </c>
      <c r="E132" s="75">
        <f>IF(products_parts[[#This Row],[Volume (L)]]=0,products_parts[[#This Row],[Height]]*products_parts[[#This Row],[length]]*products_parts[[#This Row],[Width Total]]/1000000,products_parts[[#This Row],[Volume (L)]])</f>
        <v>2.3561944901923449E-3</v>
      </c>
      <c r="F132" s="75">
        <f>products_parts[esr_dc]*products_parts[Cells in Series]/products_parts[Total Parallel]</f>
        <v>32.692307692307693</v>
      </c>
      <c r="G132" s="75">
        <f>IF(products_parts[[#This Row],[height2]]=0,products_parts[[#This Row],[length]]-products_parts[[#This Row],[lead_space_s]],products_parts[[#This Row],[height2]])</f>
        <v>25</v>
      </c>
      <c r="H132" s="75">
        <f>IF(products_parts[[#This Row],[thickness]]=0,IF(products_parts[[#This Row],[width]]=0,products_parts[[#This Row],[diameter]],products_parts[[#This Row],[width]]),products_parts[[#This Row],[thickness]])</f>
        <v>10</v>
      </c>
      <c r="I132" s="75">
        <f>IF(products_parts[[#This Row],[voltage]]=0,1000,ROUNDUP(WorkingV/products_parts[Operating Voltage (temp)],0))</f>
        <v>5</v>
      </c>
      <c r="J132" s="75">
        <f>ROUNDUP(Constant/(WorkingV-MinV)*((products_parts[esr_dc]/1000*products_parts[[#This Row],[Cap]])+Time)*products_parts[[#This Row],[Cells in Series]]/products_parts[[#This Row],[Cap]],0)</f>
        <v>13</v>
      </c>
      <c r="K132" s="78">
        <f>ROUNDUP(((Constant/WorkingV+Constant/MinV)/2)*(((products_parts[esr_dc]/1000*products_parts[Cap]))+Time)/(WorkingV-MinV)*(products_parts[[#This Row],[Cells in Series]]/products_parts[Cap]),0)</f>
        <v>2</v>
      </c>
      <c r="L132" s="78">
        <f>IF(Calculations!$J$2=1,products_parts[Cells in Parallel],products_parts[Parallel CP])</f>
        <v>13</v>
      </c>
      <c r="M132" s="75">
        <f>products_parts[[#This Row],[Cells in Series]]*products_parts[[#This Row],[Total Parallel]]</f>
        <v>65</v>
      </c>
      <c r="N132" s="76">
        <f>products_parts[[#This Row],[Price per Cell]]*products_parts[[#This Row],[Total '# of Caps]]</f>
        <v>146.25</v>
      </c>
      <c r="O132" s="77">
        <f>products_parts[[#This Row],[Calculated Volume]]*products_parts[[#This Row],[Total '# of Caps]]</f>
        <v>0.15315264186250241</v>
      </c>
      <c r="P132" s="77">
        <f>products_parts[[#This Row],[weight]]*products_parts[[#This Row],[Total '# of Caps]]</f>
        <v>227.5</v>
      </c>
      <c r="Q132" s="78" t="b">
        <f>AND(products_parts[[#This Row],[Height]]&gt;MIN(Calculations!$K$2,Calculations!$L$2),products_parts[[#This Row],[Height]]&lt;MAX(Calculations!$K$2,Calculations!$L$2))</f>
        <v>1</v>
      </c>
      <c r="R132" s="86">
        <f>IF(ISNUMBER(SEARCH("TPL",products_parts[[#This Row],[series]])),1,IF(products_parts[[#This Row],[series]]="PC",1,IF(ISNUMBER(SEARCH("PBL",products_parts[[#This Row],[series]])),2,2)))</f>
        <v>1</v>
      </c>
      <c r="S132" s="78" t="str">
        <f>IF(TempRange=2,IF(products_parts[[#This Row],[voltage2]]=0,"0","1"),"1")</f>
        <v>1</v>
      </c>
      <c r="T132" s="78">
        <f>IF(TempRange=1,products_parts[voltage],products_parts[voltage2])</f>
        <v>2.7</v>
      </c>
      <c r="U132" s="86" t="str">
        <f>IF(ISNUMBER(SEARCH("PBL ",products_parts[series])),"PBL",products_parts[series])</f>
        <v>TPL</v>
      </c>
      <c r="V132" s="87" t="s">
        <v>41</v>
      </c>
      <c r="W132" s="87" t="s">
        <v>26</v>
      </c>
      <c r="X132" s="68">
        <v>2.7</v>
      </c>
      <c r="Y132" s="68">
        <v>2.2999999999999998</v>
      </c>
      <c r="Z132" s="68">
        <v>11000000</v>
      </c>
      <c r="AA132" s="68">
        <v>85</v>
      </c>
      <c r="AB132" s="68">
        <v>0.03</v>
      </c>
      <c r="AC132" s="68">
        <v>10</v>
      </c>
      <c r="AD132" s="68">
        <v>30</v>
      </c>
      <c r="AE132" s="68">
        <v>0</v>
      </c>
      <c r="AF132" s="68">
        <v>0</v>
      </c>
      <c r="AG132" s="68">
        <v>0</v>
      </c>
      <c r="AH132" s="68">
        <v>5</v>
      </c>
      <c r="AI132" s="87" t="s">
        <v>37</v>
      </c>
      <c r="AJ132" s="87" t="s">
        <v>38</v>
      </c>
      <c r="AK132" s="68">
        <v>3.5</v>
      </c>
      <c r="AL132" s="68">
        <v>2.25</v>
      </c>
      <c r="BO132" s="68"/>
      <c r="BW132" s="72"/>
      <c r="BX132" s="67"/>
    </row>
    <row r="133" spans="1:76" x14ac:dyDescent="0.25">
      <c r="A133" s="84">
        <f>products_parts[[#This Row],[Total Price]]+ROW()*0.0001</f>
        <v>115.0133</v>
      </c>
      <c r="B133" s="75">
        <f>products_parts[[#This Row],[cap_uf]]/1000000</f>
        <v>40</v>
      </c>
      <c r="C133" s="93">
        <f>products_parts[[#This Row],[Cap]]*products_parts[Total Parallel]/products_parts[Cells in Series]</f>
        <v>32</v>
      </c>
      <c r="D133" s="75">
        <f>PI()*((products_parts[[#This Row],[diameter]]/2)^2)*products_parts[[#This Row],[length]]/1000000</f>
        <v>5.7064085309345858E-3</v>
      </c>
      <c r="E133" s="75">
        <f>IF(products_parts[[#This Row],[Volume (L)]]=0,products_parts[[#This Row],[Height]]*products_parts[[#This Row],[length]]*products_parts[[#This Row],[Width Total]]/1000000,products_parts[[#This Row],[Volume (L)]])</f>
        <v>5.7064085309345858E-3</v>
      </c>
      <c r="F133" s="75">
        <f>products_parts[esr_dc]*products_parts[Cells in Series]/products_parts[Total Parallel]</f>
        <v>36.25</v>
      </c>
      <c r="G133" s="75">
        <f>IF(products_parts[[#This Row],[height2]]=0,products_parts[[#This Row],[length]]-products_parts[[#This Row],[lead_space_s]],products_parts[[#This Row],[height2]])</f>
        <v>41.2</v>
      </c>
      <c r="H133" s="75">
        <f>IF(products_parts[[#This Row],[thickness]]=0,IF(products_parts[[#This Row],[width]]=0,products_parts[[#This Row],[diameter]],products_parts[[#This Row],[width]]),products_parts[[#This Row],[thickness]])</f>
        <v>12.5</v>
      </c>
      <c r="I133" s="75">
        <f>IF(products_parts[[#This Row],[voltage]]=0,1000,ROUNDUP(WorkingV/products_parts[Operating Voltage (temp)],0))</f>
        <v>5</v>
      </c>
      <c r="J133" s="75">
        <f>ROUNDUP(Constant/(WorkingV-MinV)*((products_parts[esr_dc]/1000*products_parts[[#This Row],[Cap]])+Time)*products_parts[[#This Row],[Cells in Series]]/products_parts[[#This Row],[Cap]],0)</f>
        <v>4</v>
      </c>
      <c r="K133" s="78">
        <f>ROUNDUP(((Constant/WorkingV+Constant/MinV)/2)*(((products_parts[esr_dc]/1000*products_parts[Cap]))+Time)/(WorkingV-MinV)*(products_parts[[#This Row],[Cells in Series]]/products_parts[Cap]),0)</f>
        <v>1</v>
      </c>
      <c r="L133" s="78">
        <f>IF(Calculations!$J$2=1,products_parts[Cells in Parallel],products_parts[Parallel CP])</f>
        <v>4</v>
      </c>
      <c r="M133" s="75">
        <f>products_parts[[#This Row],[Cells in Series]]*products_parts[[#This Row],[Total Parallel]]</f>
        <v>20</v>
      </c>
      <c r="N133" s="76">
        <f>products_parts[[#This Row],[Price per Cell]]*products_parts[[#This Row],[Total '# of Caps]]</f>
        <v>115</v>
      </c>
      <c r="O133" s="77">
        <f>products_parts[[#This Row],[Calculated Volume]]*products_parts[[#This Row],[Total '# of Caps]]</f>
        <v>0.11412817061869171</v>
      </c>
      <c r="P133" s="77">
        <f>products_parts[[#This Row],[weight]]*products_parts[[#This Row],[Total '# of Caps]]</f>
        <v>190</v>
      </c>
      <c r="Q133" s="78" t="b">
        <f>AND(products_parts[[#This Row],[Height]]&gt;MIN(Calculations!$K$2,Calculations!$L$2),products_parts[[#This Row],[Height]]&lt;MAX(Calculations!$K$2,Calculations!$L$2))</f>
        <v>1</v>
      </c>
      <c r="R133" s="86">
        <f>IF(ISNUMBER(SEARCH("TPL",products_parts[[#This Row],[series]])),1,IF(products_parts[[#This Row],[series]]="PC",1,IF(ISNUMBER(SEARCH("PBL",products_parts[[#This Row],[series]])),2,2)))</f>
        <v>1</v>
      </c>
      <c r="S133" s="78" t="str">
        <f>IF(TempRange=2,IF(products_parts[[#This Row],[voltage2]]=0,"0","1"),"1")</f>
        <v>1</v>
      </c>
      <c r="T133" s="78">
        <f>IF(TempRange=1,products_parts[voltage],products_parts[voltage2])</f>
        <v>2.7</v>
      </c>
      <c r="U133" s="86" t="str">
        <f>IF(ISNUMBER(SEARCH("PBL ",products_parts[series])),"PBL",products_parts[series])</f>
        <v>TPL</v>
      </c>
      <c r="V133" s="87" t="s">
        <v>41</v>
      </c>
      <c r="W133" s="87" t="s">
        <v>27</v>
      </c>
      <c r="X133" s="68">
        <v>2.7</v>
      </c>
      <c r="Y133" s="68">
        <v>2.2999999999999998</v>
      </c>
      <c r="Z133" s="68">
        <v>40000000</v>
      </c>
      <c r="AA133" s="68">
        <v>29</v>
      </c>
      <c r="AB133" s="68">
        <v>7.0000000000000007E-2</v>
      </c>
      <c r="AC133" s="68">
        <v>12.5</v>
      </c>
      <c r="AD133" s="68">
        <v>46.5</v>
      </c>
      <c r="AE133" s="68">
        <v>0</v>
      </c>
      <c r="AF133" s="68">
        <v>0</v>
      </c>
      <c r="AG133" s="68">
        <v>0</v>
      </c>
      <c r="AH133" s="68">
        <v>5.3</v>
      </c>
      <c r="AI133" s="87" t="s">
        <v>37</v>
      </c>
      <c r="AJ133" s="87" t="s">
        <v>38</v>
      </c>
      <c r="AK133" s="68">
        <v>9.5</v>
      </c>
      <c r="AL133" s="68">
        <v>5.75</v>
      </c>
      <c r="BO133" s="68"/>
      <c r="BW133" s="72"/>
      <c r="BX133" s="67"/>
    </row>
    <row r="134" spans="1:76" x14ac:dyDescent="0.25">
      <c r="A134" s="84">
        <f>products_parts[[#This Row],[Total Price]]+ROW()*0.0001</f>
        <v>225.01339999999999</v>
      </c>
      <c r="B134" s="75">
        <f>products_parts[[#This Row],[cap_uf]]/1000000</f>
        <v>650</v>
      </c>
      <c r="C134" s="93">
        <f>products_parts[[#This Row],[Cap]]*products_parts[Total Parallel]/products_parts[Cells in Series]</f>
        <v>130</v>
      </c>
      <c r="D134" s="75">
        <f>PI()*((products_parts[[#This Row],[diameter]]/2)^2)*products_parts[[#This Row],[length]]/1000000</f>
        <v>0.14561281949388691</v>
      </c>
      <c r="E134" s="75">
        <f>IF(products_parts[[#This Row],[Volume (L)]]=0,products_parts[[#This Row],[Height]]*products_parts[[#This Row],[length]]*products_parts[[#This Row],[Width Total]]/1000000,products_parts[[#This Row],[Volume (L)]])</f>
        <v>0.14561281949388691</v>
      </c>
      <c r="F134" s="75">
        <f>products_parts[esr_dc]*products_parts[Cells in Series]/products_parts[Total Parallel]</f>
        <v>3</v>
      </c>
      <c r="G134" s="75">
        <f>IF(products_parts[[#This Row],[height2]]=0,products_parts[[#This Row],[length]]-products_parts[[#This Row],[lead_space_s]],products_parts[[#This Row],[height2]])</f>
        <v>51.5</v>
      </c>
      <c r="H134" s="75">
        <f>IF(products_parts[[#This Row],[thickness]]=0,IF(products_parts[[#This Row],[width]]=0,products_parts[[#This Row],[diameter]],products_parts[[#This Row],[width]]),products_parts[[#This Row],[thickness]])</f>
        <v>60</v>
      </c>
      <c r="I134" s="75">
        <f>IF(products_parts[[#This Row],[voltage]]=0,1000,ROUNDUP(WorkingV/products_parts[Operating Voltage (temp)],0))</f>
        <v>5</v>
      </c>
      <c r="J134" s="75">
        <f>ROUNDUP(Constant/(WorkingV-MinV)*((products_parts[esr_dc]/1000*products_parts[[#This Row],[Cap]])+Time)*products_parts[[#This Row],[Cells in Series]]/products_parts[[#This Row],[Cap]],0)</f>
        <v>1</v>
      </c>
      <c r="K134" s="78">
        <f>ROUNDUP(((Constant/WorkingV+Constant/MinV)/2)*(((products_parts[esr_dc]/1000*products_parts[Cap]))+Time)/(WorkingV-MinV)*(products_parts[[#This Row],[Cells in Series]]/products_parts[Cap]),0)</f>
        <v>1</v>
      </c>
      <c r="L134" s="78">
        <f>IF(Calculations!$J$2=1,products_parts[Cells in Parallel],products_parts[Parallel CP])</f>
        <v>1</v>
      </c>
      <c r="M134" s="75">
        <f>products_parts[[#This Row],[Cells in Series]]*products_parts[[#This Row],[Total Parallel]]</f>
        <v>5</v>
      </c>
      <c r="N134" s="76">
        <f>products_parts[[#This Row],[Price per Cell]]*products_parts[[#This Row],[Total '# of Caps]]</f>
        <v>225</v>
      </c>
      <c r="O134" s="77">
        <f>products_parts[[#This Row],[Calculated Volume]]*products_parts[[#This Row],[Total '# of Caps]]</f>
        <v>0.72806409746943457</v>
      </c>
      <c r="P134" s="77">
        <f>products_parts[[#This Row],[weight]]*products_parts[[#This Row],[Total '# of Caps]]</f>
        <v>1050</v>
      </c>
      <c r="Q134" s="78" t="b">
        <f>AND(products_parts[[#This Row],[Height]]&gt;MIN(Calculations!$K$2,Calculations!$L$2),products_parts[[#This Row],[Height]]&lt;MAX(Calculations!$K$2,Calculations!$L$2))</f>
        <v>1</v>
      </c>
      <c r="R134" s="86">
        <f>IF(ISNUMBER(SEARCH("TPL",products_parts[[#This Row],[series]])),1,IF(products_parts[[#This Row],[series]]="PC",1,IF(ISNUMBER(SEARCH("PBL",products_parts[[#This Row],[series]])),2,2)))</f>
        <v>1</v>
      </c>
      <c r="S134" s="78" t="str">
        <f>IF(TempRange=2,IF(products_parts[[#This Row],[voltage2]]=0,"0","1"),"1")</f>
        <v>1</v>
      </c>
      <c r="T134" s="78">
        <f>IF(TempRange=1,products_parts[voltage],products_parts[voltage2])</f>
        <v>2.7</v>
      </c>
      <c r="U134" s="86" t="str">
        <f>IF(ISNUMBER(SEARCH("PBL ",products_parts[series])),"PBL",products_parts[series])</f>
        <v>TPLH 2.7V Threaded</v>
      </c>
      <c r="V134" s="87" t="s">
        <v>244</v>
      </c>
      <c r="W134" s="87" t="s">
        <v>245</v>
      </c>
      <c r="X134" s="68">
        <v>2.7</v>
      </c>
      <c r="Y134" s="68">
        <v>0</v>
      </c>
      <c r="Z134" s="68">
        <v>650000000</v>
      </c>
      <c r="AA134" s="68">
        <v>0.6</v>
      </c>
      <c r="AB134" s="68">
        <v>1.5</v>
      </c>
      <c r="AC134" s="68">
        <v>60</v>
      </c>
      <c r="AD134" s="68">
        <v>51.5</v>
      </c>
      <c r="AE134" s="68">
        <v>0</v>
      </c>
      <c r="AF134" s="68">
        <v>0</v>
      </c>
      <c r="AG134" s="68">
        <v>0</v>
      </c>
      <c r="AH134" s="68">
        <v>0</v>
      </c>
      <c r="AI134" s="87" t="s">
        <v>37</v>
      </c>
      <c r="AJ134" s="87" t="s">
        <v>156</v>
      </c>
      <c r="AK134" s="68">
        <v>210</v>
      </c>
      <c r="AL134" s="68">
        <v>45</v>
      </c>
      <c r="BO134" s="68"/>
      <c r="BW134" s="72"/>
      <c r="BX134" s="67"/>
    </row>
    <row r="135" spans="1:76" x14ac:dyDescent="0.25">
      <c r="A135" s="84">
        <f>products_parts[[#This Row],[Total Price]]+ROW()*0.0001</f>
        <v>305.01350000000002</v>
      </c>
      <c r="B135" s="75">
        <f>products_parts[[#This Row],[cap_uf]]/1000000</f>
        <v>1200</v>
      </c>
      <c r="C135" s="93">
        <f>products_parts[[#This Row],[Cap]]*products_parts[Total Parallel]/products_parts[Cells in Series]</f>
        <v>240</v>
      </c>
      <c r="D135" s="75">
        <f>PI()*((products_parts[[#This Row],[diameter]]/2)^2)*products_parts[[#This Row],[length]]/1000000</f>
        <v>0.2092300707290802</v>
      </c>
      <c r="E135" s="75">
        <f>IF(products_parts[[#This Row],[Volume (L)]]=0,products_parts[[#This Row],[Height]]*products_parts[[#This Row],[length]]*products_parts[[#This Row],[Width Total]]/1000000,products_parts[[#This Row],[Volume (L)]])</f>
        <v>0.2092300707290802</v>
      </c>
      <c r="F135" s="75">
        <f>products_parts[esr_dc]*products_parts[Cells in Series]/products_parts[Total Parallel]</f>
        <v>1.7999999999999998</v>
      </c>
      <c r="G135" s="75">
        <f>IF(products_parts[[#This Row],[height2]]=0,products_parts[[#This Row],[length]]-products_parts[[#This Row],[lead_space_s]],products_parts[[#This Row],[height2]])</f>
        <v>74</v>
      </c>
      <c r="H135" s="75">
        <f>IF(products_parts[[#This Row],[thickness]]=0,IF(products_parts[[#This Row],[width]]=0,products_parts[[#This Row],[diameter]],products_parts[[#This Row],[width]]),products_parts[[#This Row],[thickness]])</f>
        <v>60</v>
      </c>
      <c r="I135" s="75">
        <f>IF(products_parts[[#This Row],[voltage]]=0,1000,ROUNDUP(WorkingV/products_parts[Operating Voltage (temp)],0))</f>
        <v>5</v>
      </c>
      <c r="J135" s="75">
        <f>ROUNDUP(Constant/(WorkingV-MinV)*((products_parts[esr_dc]/1000*products_parts[[#This Row],[Cap]])+Time)*products_parts[[#This Row],[Cells in Series]]/products_parts[[#This Row],[Cap]],0)</f>
        <v>1</v>
      </c>
      <c r="K135" s="78">
        <f>ROUNDUP(((Constant/WorkingV+Constant/MinV)/2)*(((products_parts[esr_dc]/1000*products_parts[Cap]))+Time)/(WorkingV-MinV)*(products_parts[[#This Row],[Cells in Series]]/products_parts[Cap]),0)</f>
        <v>1</v>
      </c>
      <c r="L135" s="78">
        <f>IF(Calculations!$J$2=1,products_parts[Cells in Parallel],products_parts[Parallel CP])</f>
        <v>1</v>
      </c>
      <c r="M135" s="75">
        <f>products_parts[[#This Row],[Cells in Series]]*products_parts[[#This Row],[Total Parallel]]</f>
        <v>5</v>
      </c>
      <c r="N135" s="76">
        <f>products_parts[[#This Row],[Price per Cell]]*products_parts[[#This Row],[Total '# of Caps]]</f>
        <v>305</v>
      </c>
      <c r="O135" s="77">
        <f>products_parts[[#This Row],[Calculated Volume]]*products_parts[[#This Row],[Total '# of Caps]]</f>
        <v>1.0461503536454011</v>
      </c>
      <c r="P135" s="77">
        <f>products_parts[[#This Row],[weight]]*products_parts[[#This Row],[Total '# of Caps]]</f>
        <v>1475</v>
      </c>
      <c r="Q135" s="78" t="b">
        <f>AND(products_parts[[#This Row],[Height]]&gt;MIN(Calculations!$K$2,Calculations!$L$2),products_parts[[#This Row],[Height]]&lt;MAX(Calculations!$K$2,Calculations!$L$2))</f>
        <v>1</v>
      </c>
      <c r="R135" s="86">
        <f>IF(ISNUMBER(SEARCH("TPL",products_parts[[#This Row],[series]])),1,IF(products_parts[[#This Row],[series]]="PC",1,IF(ISNUMBER(SEARCH("PBL",products_parts[[#This Row],[series]])),2,2)))</f>
        <v>1</v>
      </c>
      <c r="S135" s="78" t="str">
        <f>IF(TempRange=2,IF(products_parts[[#This Row],[voltage2]]=0,"0","1"),"1")</f>
        <v>1</v>
      </c>
      <c r="T135" s="78">
        <f>IF(TempRange=1,products_parts[voltage],products_parts[voltage2])</f>
        <v>2.7</v>
      </c>
      <c r="U135" s="86" t="str">
        <f>IF(ISNUMBER(SEARCH("PBL ",products_parts[series])),"PBL",products_parts[series])</f>
        <v>TPLH 2.7V Threaded</v>
      </c>
      <c r="V135" s="87" t="s">
        <v>244</v>
      </c>
      <c r="W135" s="87" t="s">
        <v>246</v>
      </c>
      <c r="X135" s="68">
        <v>2.7</v>
      </c>
      <c r="Y135" s="68">
        <v>0</v>
      </c>
      <c r="Z135" s="68">
        <v>1200000000</v>
      </c>
      <c r="AA135" s="68">
        <v>0.36</v>
      </c>
      <c r="AB135" s="68">
        <v>2.7</v>
      </c>
      <c r="AC135" s="68">
        <v>60</v>
      </c>
      <c r="AD135" s="68">
        <v>74</v>
      </c>
      <c r="AE135" s="68">
        <v>0</v>
      </c>
      <c r="AF135" s="68">
        <v>0</v>
      </c>
      <c r="AG135" s="68">
        <v>0</v>
      </c>
      <c r="AH135" s="68">
        <v>0</v>
      </c>
      <c r="AI135" s="87" t="s">
        <v>37</v>
      </c>
      <c r="AJ135" s="87" t="s">
        <v>156</v>
      </c>
      <c r="AK135" s="68">
        <v>295</v>
      </c>
      <c r="AL135" s="68">
        <v>61</v>
      </c>
      <c r="BO135" s="68"/>
      <c r="BW135" s="72"/>
      <c r="BX135" s="67"/>
    </row>
    <row r="136" spans="1:76" x14ac:dyDescent="0.25">
      <c r="A136" s="84">
        <f>products_parts[[#This Row],[Total Price]]+ROW()*0.0001</f>
        <v>345.0136</v>
      </c>
      <c r="B136" s="75">
        <f>products_parts[[#This Row],[cap_uf]]/1000000</f>
        <v>1500</v>
      </c>
      <c r="C136" s="93">
        <f>products_parts[[#This Row],[Cap]]*products_parts[Total Parallel]/products_parts[Cells in Series]</f>
        <v>300</v>
      </c>
      <c r="D136" s="75">
        <f>PI()*((products_parts[[#This Row],[diameter]]/2)^2)*products_parts[[#This Row],[length]]/1000000</f>
        <v>0.24033183799961916</v>
      </c>
      <c r="E136" s="75">
        <f>IF(products_parts[[#This Row],[Volume (L)]]=0,products_parts[[#This Row],[Height]]*products_parts[[#This Row],[length]]*products_parts[[#This Row],[Width Total]]/1000000,products_parts[[#This Row],[Volume (L)]])</f>
        <v>0.24033183799961916</v>
      </c>
      <c r="F136" s="75">
        <f>products_parts[esr_dc]*products_parts[Cells in Series]/products_parts[Total Parallel]</f>
        <v>1.55</v>
      </c>
      <c r="G136" s="75">
        <f>IF(products_parts[[#This Row],[height2]]=0,products_parts[[#This Row],[length]]-products_parts[[#This Row],[lead_space_s]],products_parts[[#This Row],[height2]])</f>
        <v>85</v>
      </c>
      <c r="H136" s="75">
        <f>IF(products_parts[[#This Row],[thickness]]=0,IF(products_parts[[#This Row],[width]]=0,products_parts[[#This Row],[diameter]],products_parts[[#This Row],[width]]),products_parts[[#This Row],[thickness]])</f>
        <v>60</v>
      </c>
      <c r="I136" s="75">
        <f>IF(products_parts[[#This Row],[voltage]]=0,1000,ROUNDUP(WorkingV/products_parts[Operating Voltage (temp)],0))</f>
        <v>5</v>
      </c>
      <c r="J136" s="75">
        <f>ROUNDUP(Constant/(WorkingV-MinV)*((products_parts[esr_dc]/1000*products_parts[[#This Row],[Cap]])+Time)*products_parts[[#This Row],[Cells in Series]]/products_parts[[#This Row],[Cap]],0)</f>
        <v>1</v>
      </c>
      <c r="K136" s="78">
        <f>ROUNDUP(((Constant/WorkingV+Constant/MinV)/2)*(((products_parts[esr_dc]/1000*products_parts[Cap]))+Time)/(WorkingV-MinV)*(products_parts[[#This Row],[Cells in Series]]/products_parts[Cap]),0)</f>
        <v>1</v>
      </c>
      <c r="L136" s="78">
        <f>IF(Calculations!$J$2=1,products_parts[Cells in Parallel],products_parts[Parallel CP])</f>
        <v>1</v>
      </c>
      <c r="M136" s="75">
        <f>products_parts[[#This Row],[Cells in Series]]*products_parts[[#This Row],[Total Parallel]]</f>
        <v>5</v>
      </c>
      <c r="N136" s="76">
        <f>products_parts[[#This Row],[Price per Cell]]*products_parts[[#This Row],[Total '# of Caps]]</f>
        <v>345</v>
      </c>
      <c r="O136" s="77">
        <f>products_parts[[#This Row],[Calculated Volume]]*products_parts[[#This Row],[Total '# of Caps]]</f>
        <v>1.2016591899980957</v>
      </c>
      <c r="P136" s="77">
        <f>products_parts[[#This Row],[weight]]*products_parts[[#This Row],[Total '# of Caps]]</f>
        <v>1650</v>
      </c>
      <c r="Q136" s="78" t="b">
        <f>AND(products_parts[[#This Row],[Height]]&gt;MIN(Calculations!$K$2,Calculations!$L$2),products_parts[[#This Row],[Height]]&lt;MAX(Calculations!$K$2,Calculations!$L$2))</f>
        <v>1</v>
      </c>
      <c r="R136" s="86">
        <f>IF(ISNUMBER(SEARCH("TPL",products_parts[[#This Row],[series]])),1,IF(products_parts[[#This Row],[series]]="PC",1,IF(ISNUMBER(SEARCH("PBL",products_parts[[#This Row],[series]])),2,2)))</f>
        <v>1</v>
      </c>
      <c r="S136" s="78" t="str">
        <f>IF(TempRange=2,IF(products_parts[[#This Row],[voltage2]]=0,"0","1"),"1")</f>
        <v>1</v>
      </c>
      <c r="T136" s="78">
        <f>IF(TempRange=1,products_parts[voltage],products_parts[voltage2])</f>
        <v>2.7</v>
      </c>
      <c r="U136" s="86" t="str">
        <f>IF(ISNUMBER(SEARCH("PBL ",products_parts[series])),"PBL",products_parts[series])</f>
        <v>TPLH 2.7V Threaded</v>
      </c>
      <c r="V136" s="87" t="s">
        <v>244</v>
      </c>
      <c r="W136" s="87" t="s">
        <v>247</v>
      </c>
      <c r="X136" s="68">
        <v>2.7</v>
      </c>
      <c r="Y136" s="68">
        <v>0</v>
      </c>
      <c r="Z136" s="68">
        <v>1500000000</v>
      </c>
      <c r="AA136" s="68">
        <v>0.31</v>
      </c>
      <c r="AB136" s="68">
        <v>3</v>
      </c>
      <c r="AC136" s="68">
        <v>60</v>
      </c>
      <c r="AD136" s="68">
        <v>85</v>
      </c>
      <c r="AE136" s="68">
        <v>0</v>
      </c>
      <c r="AF136" s="68">
        <v>0</v>
      </c>
      <c r="AG136" s="68">
        <v>0</v>
      </c>
      <c r="AH136" s="68">
        <v>0</v>
      </c>
      <c r="AI136" s="87" t="s">
        <v>37</v>
      </c>
      <c r="AJ136" s="87" t="s">
        <v>156</v>
      </c>
      <c r="AK136" s="68">
        <v>330</v>
      </c>
      <c r="AL136" s="68">
        <v>69</v>
      </c>
      <c r="BO136" s="68"/>
      <c r="BW136" s="72"/>
      <c r="BX136" s="67"/>
    </row>
    <row r="137" spans="1:76" x14ac:dyDescent="0.25">
      <c r="A137" s="84">
        <f>products_parts[[#This Row],[Total Price]]+ROW()*0.0001</f>
        <v>350.01369999999997</v>
      </c>
      <c r="B137" s="75">
        <f>products_parts[[#This Row],[cap_uf]]/1000000</f>
        <v>2000</v>
      </c>
      <c r="C137" s="93">
        <f>products_parts[[#This Row],[Cap]]*products_parts[Total Parallel]/products_parts[Cells in Series]</f>
        <v>400</v>
      </c>
      <c r="D137" s="75">
        <f>PI()*((products_parts[[#This Row],[diameter]]/2)^2)*products_parts[[#This Row],[length]]/1000000</f>
        <v>0.28839820559954299</v>
      </c>
      <c r="E137" s="75">
        <f>IF(products_parts[[#This Row],[Volume (L)]]=0,products_parts[[#This Row],[Height]]*products_parts[[#This Row],[length]]*products_parts[[#This Row],[Width Total]]/1000000,products_parts[[#This Row],[Volume (L)]])</f>
        <v>0.28839820559954299</v>
      </c>
      <c r="F137" s="75">
        <f>products_parts[esr_dc]*products_parts[Cells in Series]/products_parts[Total Parallel]</f>
        <v>1.5</v>
      </c>
      <c r="G137" s="75">
        <f>IF(products_parts[[#This Row],[height2]]=0,products_parts[[#This Row],[length]]-products_parts[[#This Row],[lead_space_s]],products_parts[[#This Row],[height2]])</f>
        <v>102</v>
      </c>
      <c r="H137" s="75">
        <f>IF(products_parts[[#This Row],[thickness]]=0,IF(products_parts[[#This Row],[width]]=0,products_parts[[#This Row],[diameter]],products_parts[[#This Row],[width]]),products_parts[[#This Row],[thickness]])</f>
        <v>60</v>
      </c>
      <c r="I137" s="75">
        <f>IF(products_parts[[#This Row],[voltage]]=0,1000,ROUNDUP(WorkingV/products_parts[Operating Voltage (temp)],0))</f>
        <v>5</v>
      </c>
      <c r="J137" s="75">
        <f>ROUNDUP(Constant/(WorkingV-MinV)*((products_parts[esr_dc]/1000*products_parts[[#This Row],[Cap]])+Time)*products_parts[[#This Row],[Cells in Series]]/products_parts[[#This Row],[Cap]],0)</f>
        <v>1</v>
      </c>
      <c r="K137" s="78">
        <f>ROUNDUP(((Constant/WorkingV+Constant/MinV)/2)*(((products_parts[esr_dc]/1000*products_parts[Cap]))+Time)/(WorkingV-MinV)*(products_parts[[#This Row],[Cells in Series]]/products_parts[Cap]),0)</f>
        <v>1</v>
      </c>
      <c r="L137" s="78">
        <f>IF(Calculations!$J$2=1,products_parts[Cells in Parallel],products_parts[Parallel CP])</f>
        <v>1</v>
      </c>
      <c r="M137" s="75">
        <f>products_parts[[#This Row],[Cells in Series]]*products_parts[[#This Row],[Total Parallel]]</f>
        <v>5</v>
      </c>
      <c r="N137" s="76">
        <f>products_parts[[#This Row],[Price per Cell]]*products_parts[[#This Row],[Total '# of Caps]]</f>
        <v>350</v>
      </c>
      <c r="O137" s="77">
        <f>products_parts[[#This Row],[Calculated Volume]]*products_parts[[#This Row],[Total '# of Caps]]</f>
        <v>1.4419910279977151</v>
      </c>
      <c r="P137" s="77">
        <f>products_parts[[#This Row],[weight]]*products_parts[[#This Row],[Total '# of Caps]]</f>
        <v>1950</v>
      </c>
      <c r="Q137" s="78" t="b">
        <f>AND(products_parts[[#This Row],[Height]]&gt;MIN(Calculations!$K$2,Calculations!$L$2),products_parts[[#This Row],[Height]]&lt;MAX(Calculations!$K$2,Calculations!$L$2))</f>
        <v>1</v>
      </c>
      <c r="R137" s="86">
        <f>IF(ISNUMBER(SEARCH("TPL",products_parts[[#This Row],[series]])),1,IF(products_parts[[#This Row],[series]]="PC",1,IF(ISNUMBER(SEARCH("PBL",products_parts[[#This Row],[series]])),2,2)))</f>
        <v>1</v>
      </c>
      <c r="S137" s="78" t="str">
        <f>IF(TempRange=2,IF(products_parts[[#This Row],[voltage2]]=0,"0","1"),"1")</f>
        <v>1</v>
      </c>
      <c r="T137" s="78">
        <f>IF(TempRange=1,products_parts[voltage],products_parts[voltage2])</f>
        <v>2.7</v>
      </c>
      <c r="U137" s="86" t="str">
        <f>IF(ISNUMBER(SEARCH("PBL ",products_parts[series])),"PBL",products_parts[series])</f>
        <v>TPLH 2.7V Threaded</v>
      </c>
      <c r="V137" s="87" t="s">
        <v>244</v>
      </c>
      <c r="W137" s="87" t="s">
        <v>248</v>
      </c>
      <c r="X137" s="68">
        <v>2.7</v>
      </c>
      <c r="Y137" s="68">
        <v>0</v>
      </c>
      <c r="Z137" s="68">
        <v>2000000000</v>
      </c>
      <c r="AA137" s="68">
        <v>0.3</v>
      </c>
      <c r="AB137" s="68">
        <v>4</v>
      </c>
      <c r="AC137" s="68">
        <v>60</v>
      </c>
      <c r="AD137" s="68">
        <v>102</v>
      </c>
      <c r="AE137" s="68">
        <v>0</v>
      </c>
      <c r="AF137" s="68">
        <v>0</v>
      </c>
      <c r="AG137" s="68">
        <v>0</v>
      </c>
      <c r="AH137" s="68">
        <v>0</v>
      </c>
      <c r="AI137" s="87" t="s">
        <v>37</v>
      </c>
      <c r="AJ137" s="87" t="s">
        <v>156</v>
      </c>
      <c r="AK137" s="68">
        <v>390</v>
      </c>
      <c r="AL137" s="68">
        <v>70</v>
      </c>
      <c r="BO137" s="68"/>
      <c r="BW137" s="72"/>
      <c r="BX137" s="67"/>
    </row>
    <row r="138" spans="1:76" x14ac:dyDescent="0.25">
      <c r="A138" s="84">
        <f>products_parts[[#This Row],[Total Price]]+ROW()*0.0001</f>
        <v>390.0138</v>
      </c>
      <c r="B138" s="75">
        <f>products_parts[[#This Row],[cap_uf]]/1000000</f>
        <v>3000</v>
      </c>
      <c r="C138" s="93">
        <f>products_parts[[#This Row],[Cap]]*products_parts[Total Parallel]/products_parts[Cells in Series]</f>
        <v>600</v>
      </c>
      <c r="D138" s="75">
        <f>PI()*((products_parts[[#This Row],[diameter]]/2)^2)*products_parts[[#This Row],[length]]/1000000</f>
        <v>0.39018580757585231</v>
      </c>
      <c r="E138" s="75">
        <f>IF(products_parts[[#This Row],[Volume (L)]]=0,products_parts[[#This Row],[Height]]*products_parts[[#This Row],[length]]*products_parts[[#This Row],[Width Total]]/1000000,products_parts[[#This Row],[Volume (L)]])</f>
        <v>0.39018580757585231</v>
      </c>
      <c r="F138" s="75">
        <f>products_parts[esr_dc]*products_parts[Cells in Series]/products_parts[Total Parallel]</f>
        <v>1.3</v>
      </c>
      <c r="G138" s="75">
        <f>IF(products_parts[[#This Row],[height2]]=0,products_parts[[#This Row],[length]]-products_parts[[#This Row],[lead_space_s]],products_parts[[#This Row],[height2]])</f>
        <v>138</v>
      </c>
      <c r="H138" s="75">
        <f>IF(products_parts[[#This Row],[thickness]]=0,IF(products_parts[[#This Row],[width]]=0,products_parts[[#This Row],[diameter]],products_parts[[#This Row],[width]]),products_parts[[#This Row],[thickness]])</f>
        <v>60</v>
      </c>
      <c r="I138" s="75">
        <f>IF(products_parts[[#This Row],[voltage]]=0,1000,ROUNDUP(WorkingV/products_parts[Operating Voltage (temp)],0))</f>
        <v>5</v>
      </c>
      <c r="J138" s="75">
        <f>ROUNDUP(Constant/(WorkingV-MinV)*((products_parts[esr_dc]/1000*products_parts[[#This Row],[Cap]])+Time)*products_parts[[#This Row],[Cells in Series]]/products_parts[[#This Row],[Cap]],0)</f>
        <v>1</v>
      </c>
      <c r="K138" s="78">
        <f>ROUNDUP(((Constant/WorkingV+Constant/MinV)/2)*(((products_parts[esr_dc]/1000*products_parts[Cap]))+Time)/(WorkingV-MinV)*(products_parts[[#This Row],[Cells in Series]]/products_parts[Cap]),0)</f>
        <v>1</v>
      </c>
      <c r="L138" s="78">
        <f>IF(Calculations!$J$2=1,products_parts[Cells in Parallel],products_parts[Parallel CP])</f>
        <v>1</v>
      </c>
      <c r="M138" s="75">
        <f>products_parts[[#This Row],[Cells in Series]]*products_parts[[#This Row],[Total Parallel]]</f>
        <v>5</v>
      </c>
      <c r="N138" s="76">
        <f>products_parts[[#This Row],[Price per Cell]]*products_parts[[#This Row],[Total '# of Caps]]</f>
        <v>390</v>
      </c>
      <c r="O138" s="77">
        <f>products_parts[[#This Row],[Calculated Volume]]*products_parts[[#This Row],[Total '# of Caps]]</f>
        <v>1.9509290378792614</v>
      </c>
      <c r="P138" s="77">
        <f>products_parts[[#This Row],[weight]]*products_parts[[#This Row],[Total '# of Caps]]</f>
        <v>2625</v>
      </c>
      <c r="Q138" s="78" t="b">
        <f>AND(products_parts[[#This Row],[Height]]&gt;MIN(Calculations!$K$2,Calculations!$L$2),products_parts[[#This Row],[Height]]&lt;MAX(Calculations!$K$2,Calculations!$L$2))</f>
        <v>1</v>
      </c>
      <c r="R138" s="86">
        <f>IF(ISNUMBER(SEARCH("TPL",products_parts[[#This Row],[series]])),1,IF(products_parts[[#This Row],[series]]="PC",1,IF(ISNUMBER(SEARCH("PBL",products_parts[[#This Row],[series]])),2,2)))</f>
        <v>1</v>
      </c>
      <c r="S138" s="78" t="str">
        <f>IF(TempRange=2,IF(products_parts[[#This Row],[voltage2]]=0,"0","1"),"1")</f>
        <v>1</v>
      </c>
      <c r="T138" s="78">
        <f>IF(TempRange=1,products_parts[voltage],products_parts[voltage2])</f>
        <v>2.7</v>
      </c>
      <c r="U138" s="86" t="str">
        <f>IF(ISNUMBER(SEARCH("PBL ",products_parts[series])),"PBL",products_parts[series])</f>
        <v>TPLH 2.7V Threaded</v>
      </c>
      <c r="V138" s="87" t="s">
        <v>244</v>
      </c>
      <c r="W138" s="87" t="s">
        <v>249</v>
      </c>
      <c r="X138" s="68">
        <v>2.7</v>
      </c>
      <c r="Y138" s="68">
        <v>0</v>
      </c>
      <c r="Z138" s="68">
        <v>3000000000</v>
      </c>
      <c r="AA138" s="68">
        <v>0.26</v>
      </c>
      <c r="AB138" s="68">
        <v>5</v>
      </c>
      <c r="AC138" s="68">
        <v>60</v>
      </c>
      <c r="AD138" s="68">
        <v>138</v>
      </c>
      <c r="AE138" s="68">
        <v>0</v>
      </c>
      <c r="AF138" s="68">
        <v>0</v>
      </c>
      <c r="AG138" s="68">
        <v>0</v>
      </c>
      <c r="AH138" s="68">
        <v>0</v>
      </c>
      <c r="AI138" s="87" t="s">
        <v>37</v>
      </c>
      <c r="AJ138" s="87" t="s">
        <v>156</v>
      </c>
      <c r="AK138" s="68">
        <v>525</v>
      </c>
      <c r="AL138" s="68">
        <v>78</v>
      </c>
      <c r="BO138" s="68"/>
      <c r="BW138" s="72"/>
      <c r="BX138" s="67"/>
    </row>
    <row r="139" spans="1:76" x14ac:dyDescent="0.25">
      <c r="A139" s="84">
        <f>products_parts[[#This Row],[Total Price]]+ROW()*0.0001</f>
        <v>798.01390000000004</v>
      </c>
      <c r="B139" s="75">
        <f>products_parts[[#This Row],[cap_uf]]/1000000</f>
        <v>1.5</v>
      </c>
      <c r="C139" s="93">
        <f>products_parts[[#This Row],[Cap]]*products_parts[Total Parallel]/products_parts[Cells in Series]</f>
        <v>25.2</v>
      </c>
      <c r="D139" s="75">
        <f>PI()*((products_parts[[#This Row],[diameter]]/2)^2)*products_parts[[#This Row],[length]]/1000000</f>
        <v>4.6758679657867084E-4</v>
      </c>
      <c r="E139" s="75">
        <f>IF(products_parts[[#This Row],[Volume (L)]]=0,products_parts[[#This Row],[Height]]*products_parts[[#This Row],[length]]*products_parts[[#This Row],[Width Total]]/1000000,products_parts[[#This Row],[Volume (L)]])</f>
        <v>4.6758679657867084E-4</v>
      </c>
      <c r="F139" s="75">
        <f>products_parts[esr_dc]*products_parts[Cells in Series]/products_parts[Total Parallel]</f>
        <v>0</v>
      </c>
      <c r="G139" s="75">
        <f>IF(products_parts[[#This Row],[height2]]=0,products_parts[[#This Row],[length]]-products_parts[[#This Row],[lead_space_s]],products_parts[[#This Row],[height2]])</f>
        <v>12.5</v>
      </c>
      <c r="H139" s="75">
        <f>IF(products_parts[[#This Row],[thickness]]=0,IF(products_parts[[#This Row],[width]]=0,products_parts[[#This Row],[diameter]],products_parts[[#This Row],[width]]),products_parts[[#This Row],[thickness]])</f>
        <v>6.3</v>
      </c>
      <c r="I139" s="75">
        <f>IF(products_parts[[#This Row],[voltage]]=0,1000,ROUNDUP(WorkingV/products_parts[Operating Voltage (temp)],0))</f>
        <v>5</v>
      </c>
      <c r="J139" s="75">
        <f>ROUNDUP(Constant/(WorkingV-MinV)*((products_parts[esr_dc]/1000*products_parts[[#This Row],[Cap]])+Time)*products_parts[[#This Row],[Cells in Series]]/products_parts[[#This Row],[Cap]],0)</f>
        <v>84</v>
      </c>
      <c r="K139" s="78">
        <f>ROUNDUP(((Constant/WorkingV+Constant/MinV)/2)*(((products_parts[esr_dc]/1000*products_parts[Cap]))+Time)/(WorkingV-MinV)*(products_parts[[#This Row],[Cells in Series]]/products_parts[Cap]),0)</f>
        <v>8</v>
      </c>
      <c r="L139" s="78">
        <f>IF(Calculations!$J$2=1,products_parts[Cells in Parallel],products_parts[Parallel CP])</f>
        <v>84</v>
      </c>
      <c r="M139" s="75">
        <f>products_parts[[#This Row],[Cells in Series]]*products_parts[[#This Row],[Total Parallel]]</f>
        <v>420</v>
      </c>
      <c r="N139" s="76">
        <f>products_parts[[#This Row],[Price per Cell]]*products_parts[[#This Row],[Total '# of Caps]]</f>
        <v>798</v>
      </c>
      <c r="O139" s="77">
        <f>products_parts[[#This Row],[Calculated Volume]]*products_parts[[#This Row],[Total '# of Caps]]</f>
        <v>0.19638645456304174</v>
      </c>
      <c r="P139" s="77">
        <f>products_parts[[#This Row],[weight]]*products_parts[[#This Row],[Total '# of Caps]]</f>
        <v>420</v>
      </c>
      <c r="Q139" s="78" t="b">
        <f>AND(products_parts[[#This Row],[Height]]&gt;MIN(Calculations!$K$2,Calculations!$L$2),products_parts[[#This Row],[Height]]&lt;MAX(Calculations!$K$2,Calculations!$L$2))</f>
        <v>1</v>
      </c>
      <c r="R139" s="86">
        <f>IF(ISNUMBER(SEARCH("TPL",products_parts[[#This Row],[series]])),1,IF(products_parts[[#This Row],[series]]="PC",1,IF(ISNUMBER(SEARCH("PBL",products_parts[[#This Row],[series]])),2,2)))</f>
        <v>1</v>
      </c>
      <c r="S139" s="78" t="str">
        <f>IF(TempRange=2,IF(products_parts[[#This Row],[voltage2]]=0,"0","1"),"1")</f>
        <v>1</v>
      </c>
      <c r="T139" s="78">
        <f>IF(TempRange=1,products_parts[voltage],products_parts[voltage2])</f>
        <v>2.7</v>
      </c>
      <c r="U139" s="86" t="str">
        <f>IF(ISNUMBER(SEARCH("PBL ",products_parts[series])),"PBL",products_parts[series])</f>
        <v>TPLH Radial</v>
      </c>
      <c r="V139" s="87" t="s">
        <v>227</v>
      </c>
      <c r="W139" s="87" t="s">
        <v>228</v>
      </c>
      <c r="X139" s="68">
        <v>2.7</v>
      </c>
      <c r="Y139" s="68">
        <v>2.2999999999999998</v>
      </c>
      <c r="Z139" s="68">
        <v>1500000</v>
      </c>
      <c r="AA139" s="68">
        <v>0</v>
      </c>
      <c r="AB139" s="68">
        <v>6.0000000000000001E-3</v>
      </c>
      <c r="AC139" s="68">
        <v>6.3</v>
      </c>
      <c r="AD139" s="68">
        <v>15</v>
      </c>
      <c r="AE139" s="68">
        <v>0</v>
      </c>
      <c r="AF139" s="68">
        <v>0</v>
      </c>
      <c r="AG139" s="68">
        <v>0</v>
      </c>
      <c r="AH139" s="68">
        <v>2.5</v>
      </c>
      <c r="AI139" s="87" t="s">
        <v>37</v>
      </c>
      <c r="AJ139" s="87" t="s">
        <v>38</v>
      </c>
      <c r="AK139" s="68">
        <v>1</v>
      </c>
      <c r="AL139" s="68">
        <v>1.9</v>
      </c>
    </row>
    <row r="140" spans="1:76" x14ac:dyDescent="0.25">
      <c r="A140" s="84">
        <f>products_parts[[#This Row],[Total Price]]+ROW()*0.0001</f>
        <v>427.51400000000001</v>
      </c>
      <c r="B140" s="75">
        <f>products_parts[[#This Row],[cap_uf]]/1000000</f>
        <v>2.8</v>
      </c>
      <c r="C140" s="93">
        <f>products_parts[[#This Row],[Cap]]*products_parts[Total Parallel]/products_parts[Cells in Series]</f>
        <v>25.199999999999996</v>
      </c>
      <c r="D140" s="75">
        <f>PI()*((products_parts[[#This Row],[diameter]]/2)^2)*products_parts[[#This Row],[length]]/1000000</f>
        <v>8.0424771931898709E-4</v>
      </c>
      <c r="E140" s="75">
        <f>IF(products_parts[[#This Row],[Volume (L)]]=0,products_parts[[#This Row],[Height]]*products_parts[[#This Row],[length]]*products_parts[[#This Row],[Width Total]]/1000000,products_parts[[#This Row],[Volume (L)]])</f>
        <v>8.0424771931898709E-4</v>
      </c>
      <c r="F140" s="75">
        <f>products_parts[esr_dc]*products_parts[Cells in Series]/products_parts[Total Parallel]</f>
        <v>0</v>
      </c>
      <c r="G140" s="75">
        <f>IF(products_parts[[#This Row],[height2]]=0,products_parts[[#This Row],[length]]-products_parts[[#This Row],[lead_space_s]],products_parts[[#This Row],[height2]])</f>
        <v>12.5</v>
      </c>
      <c r="H140" s="75">
        <f>IF(products_parts[[#This Row],[thickness]]=0,IF(products_parts[[#This Row],[width]]=0,products_parts[[#This Row],[diameter]],products_parts[[#This Row],[width]]),products_parts[[#This Row],[thickness]])</f>
        <v>8</v>
      </c>
      <c r="I140" s="75">
        <f>IF(products_parts[[#This Row],[voltage]]=0,1000,ROUNDUP(WorkingV/products_parts[Operating Voltage (temp)],0))</f>
        <v>5</v>
      </c>
      <c r="J140" s="75">
        <f>ROUNDUP(Constant/(WorkingV-MinV)*((products_parts[esr_dc]/1000*products_parts[[#This Row],[Cap]])+Time)*products_parts[[#This Row],[Cells in Series]]/products_parts[[#This Row],[Cap]],0)</f>
        <v>45</v>
      </c>
      <c r="K140" s="78">
        <f>ROUNDUP(((Constant/WorkingV+Constant/MinV)/2)*(((products_parts[esr_dc]/1000*products_parts[Cap]))+Time)/(WorkingV-MinV)*(products_parts[[#This Row],[Cells in Series]]/products_parts[Cap]),0)</f>
        <v>5</v>
      </c>
      <c r="L140" s="78">
        <f>IF(Calculations!$J$2=1,products_parts[Cells in Parallel],products_parts[Parallel CP])</f>
        <v>45</v>
      </c>
      <c r="M140" s="75">
        <f>products_parts[[#This Row],[Cells in Series]]*products_parts[[#This Row],[Total Parallel]]</f>
        <v>225</v>
      </c>
      <c r="N140" s="76">
        <f>products_parts[[#This Row],[Price per Cell]]*products_parts[[#This Row],[Total '# of Caps]]</f>
        <v>427.5</v>
      </c>
      <c r="O140" s="77">
        <f>products_parts[[#This Row],[Calculated Volume]]*products_parts[[#This Row],[Total '# of Caps]]</f>
        <v>0.1809557368467721</v>
      </c>
      <c r="P140" s="77">
        <f>products_parts[[#This Row],[weight]]*products_parts[[#This Row],[Total '# of Caps]]</f>
        <v>337.5</v>
      </c>
      <c r="Q140" s="78" t="b">
        <f>AND(products_parts[[#This Row],[Height]]&gt;MIN(Calculations!$K$2,Calculations!$L$2),products_parts[[#This Row],[Height]]&lt;MAX(Calculations!$K$2,Calculations!$L$2))</f>
        <v>1</v>
      </c>
      <c r="R140" s="86">
        <f>IF(ISNUMBER(SEARCH("TPL",products_parts[[#This Row],[series]])),1,IF(products_parts[[#This Row],[series]]="PC",1,IF(ISNUMBER(SEARCH("PBL",products_parts[[#This Row],[series]])),2,2)))</f>
        <v>1</v>
      </c>
      <c r="S140" s="78" t="str">
        <f>IF(TempRange=2,IF(products_parts[[#This Row],[voltage2]]=0,"0","1"),"1")</f>
        <v>1</v>
      </c>
      <c r="T140" s="78">
        <f>IF(TempRange=1,products_parts[voltage],products_parts[voltage2])</f>
        <v>2.7</v>
      </c>
      <c r="U140" s="86" t="str">
        <f>IF(ISNUMBER(SEARCH("PBL ",products_parts[series])),"PBL",products_parts[series])</f>
        <v>TPLH Radial</v>
      </c>
      <c r="V140" s="87" t="s">
        <v>227</v>
      </c>
      <c r="W140" s="87" t="s">
        <v>229</v>
      </c>
      <c r="X140" s="68">
        <v>2.7</v>
      </c>
      <c r="Y140" s="68">
        <v>2.2999999999999998</v>
      </c>
      <c r="Z140" s="68">
        <v>2800000</v>
      </c>
      <c r="AA140" s="68">
        <v>0</v>
      </c>
      <c r="AB140" s="68">
        <v>0.01</v>
      </c>
      <c r="AC140" s="68">
        <v>8</v>
      </c>
      <c r="AD140" s="68">
        <v>16</v>
      </c>
      <c r="AE140" s="68">
        <v>0</v>
      </c>
      <c r="AF140" s="68">
        <v>0</v>
      </c>
      <c r="AG140" s="68">
        <v>0</v>
      </c>
      <c r="AH140" s="68">
        <v>3.5</v>
      </c>
      <c r="AI140" s="87" t="s">
        <v>37</v>
      </c>
      <c r="AJ140" s="87" t="s">
        <v>38</v>
      </c>
      <c r="AK140" s="68">
        <v>1.5</v>
      </c>
      <c r="AL140" s="68">
        <v>1.9</v>
      </c>
    </row>
    <row r="141" spans="1:76" x14ac:dyDescent="0.25">
      <c r="A141" s="84">
        <f>products_parts[[#This Row],[Total Price]]+ROW()*0.0001</f>
        <v>304.01409999999998</v>
      </c>
      <c r="B141" s="75">
        <f>products_parts[[#This Row],[cap_uf]]/1000000</f>
        <v>4</v>
      </c>
      <c r="C141" s="93">
        <f>products_parts[[#This Row],[Cap]]*products_parts[Total Parallel]/products_parts[Cells in Series]</f>
        <v>25.6</v>
      </c>
      <c r="D141" s="75">
        <f>PI()*((products_parts[[#This Row],[diameter]]/2)^2)*products_parts[[#This Row],[length]]/1000000</f>
        <v>1.0053096491487337E-3</v>
      </c>
      <c r="E141" s="75">
        <f>IF(products_parts[[#This Row],[Volume (L)]]=0,products_parts[[#This Row],[Height]]*products_parts[[#This Row],[length]]*products_parts[[#This Row],[Width Total]]/1000000,products_parts[[#This Row],[Volume (L)]])</f>
        <v>1.0053096491487337E-3</v>
      </c>
      <c r="F141" s="75">
        <f>products_parts[esr_dc]*products_parts[Cells in Series]/products_parts[Total Parallel]</f>
        <v>0</v>
      </c>
      <c r="G141" s="75">
        <f>IF(products_parts[[#This Row],[height2]]=0,products_parts[[#This Row],[length]]-products_parts[[#This Row],[lead_space_s]],products_parts[[#This Row],[height2]])</f>
        <v>16.5</v>
      </c>
      <c r="H141" s="75">
        <f>IF(products_parts[[#This Row],[thickness]]=0,IF(products_parts[[#This Row],[width]]=0,products_parts[[#This Row],[diameter]],products_parts[[#This Row],[width]]),products_parts[[#This Row],[thickness]])</f>
        <v>8</v>
      </c>
      <c r="I141" s="75">
        <f>IF(products_parts[[#This Row],[voltage]]=0,1000,ROUNDUP(WorkingV/products_parts[Operating Voltage (temp)],0))</f>
        <v>5</v>
      </c>
      <c r="J141" s="75">
        <f>ROUNDUP(Constant/(WorkingV-MinV)*((products_parts[esr_dc]/1000*products_parts[[#This Row],[Cap]])+Time)*products_parts[[#This Row],[Cells in Series]]/products_parts[[#This Row],[Cap]],0)</f>
        <v>32</v>
      </c>
      <c r="K141" s="78">
        <f>ROUNDUP(((Constant/WorkingV+Constant/MinV)/2)*(((products_parts[esr_dc]/1000*products_parts[Cap]))+Time)/(WorkingV-MinV)*(products_parts[[#This Row],[Cells in Series]]/products_parts[Cap]),0)</f>
        <v>3</v>
      </c>
      <c r="L141" s="78">
        <f>IF(Calculations!$J$2=1,products_parts[Cells in Parallel],products_parts[Parallel CP])</f>
        <v>32</v>
      </c>
      <c r="M141" s="75">
        <f>products_parts[[#This Row],[Cells in Series]]*products_parts[[#This Row],[Total Parallel]]</f>
        <v>160</v>
      </c>
      <c r="N141" s="76">
        <f>products_parts[[#This Row],[Price per Cell]]*products_parts[[#This Row],[Total '# of Caps]]</f>
        <v>304</v>
      </c>
      <c r="O141" s="77">
        <f>products_parts[[#This Row],[Calculated Volume]]*products_parts[[#This Row],[Total '# of Caps]]</f>
        <v>0.16084954386379741</v>
      </c>
      <c r="P141" s="77">
        <f>products_parts[[#This Row],[weight]]*products_parts[[#This Row],[Total '# of Caps]]</f>
        <v>256</v>
      </c>
      <c r="Q141" s="78" t="b">
        <f>AND(products_parts[[#This Row],[Height]]&gt;MIN(Calculations!$K$2,Calculations!$L$2),products_parts[[#This Row],[Height]]&lt;MAX(Calculations!$K$2,Calculations!$L$2))</f>
        <v>1</v>
      </c>
      <c r="R141" s="86">
        <f>IF(ISNUMBER(SEARCH("TPL",products_parts[[#This Row],[series]])),1,IF(products_parts[[#This Row],[series]]="PC",1,IF(ISNUMBER(SEARCH("PBL",products_parts[[#This Row],[series]])),2,2)))</f>
        <v>1</v>
      </c>
      <c r="S141" s="78" t="str">
        <f>IF(TempRange=2,IF(products_parts[[#This Row],[voltage2]]=0,"0","1"),"1")</f>
        <v>1</v>
      </c>
      <c r="T141" s="78">
        <f>IF(TempRange=1,products_parts[voltage],products_parts[voltage2])</f>
        <v>2.7</v>
      </c>
      <c r="U141" s="86" t="str">
        <f>IF(ISNUMBER(SEARCH("PBL ",products_parts[series])),"PBL",products_parts[series])</f>
        <v>TPLH Radial</v>
      </c>
      <c r="V141" s="87" t="s">
        <v>227</v>
      </c>
      <c r="W141" s="87" t="s">
        <v>230</v>
      </c>
      <c r="X141" s="68">
        <v>2.7</v>
      </c>
      <c r="Y141" s="68">
        <v>2.2999999999999998</v>
      </c>
      <c r="Z141" s="68">
        <v>4000000</v>
      </c>
      <c r="AA141" s="68">
        <v>0</v>
      </c>
      <c r="AB141" s="68">
        <v>1.4E-2</v>
      </c>
      <c r="AC141" s="68">
        <v>8</v>
      </c>
      <c r="AD141" s="68">
        <v>20</v>
      </c>
      <c r="AE141" s="68">
        <v>0</v>
      </c>
      <c r="AF141" s="68">
        <v>0</v>
      </c>
      <c r="AG141" s="68">
        <v>0</v>
      </c>
      <c r="AH141" s="68">
        <v>3.5</v>
      </c>
      <c r="AI141" s="87" t="s">
        <v>37</v>
      </c>
      <c r="AJ141" s="87" t="s">
        <v>38</v>
      </c>
      <c r="AK141" s="68">
        <v>1.6</v>
      </c>
      <c r="AL141" s="68">
        <v>1.9</v>
      </c>
    </row>
    <row r="142" spans="1:76" x14ac:dyDescent="0.25">
      <c r="A142" s="84">
        <f>products_parts[[#This Row],[Total Price]]+ROW()*0.0001</f>
        <v>199.51419999999999</v>
      </c>
      <c r="B142" s="75">
        <f>products_parts[[#This Row],[cap_uf]]/1000000</f>
        <v>6</v>
      </c>
      <c r="C142" s="93">
        <f>products_parts[[#This Row],[Cap]]*products_parts[Total Parallel]/products_parts[Cells in Series]</f>
        <v>25.2</v>
      </c>
      <c r="D142" s="75">
        <f>PI()*((products_parts[[#This Row],[diameter]]/2)^2)*products_parts[[#This Row],[length]]/1000000</f>
        <v>1.5707963267948967E-3</v>
      </c>
      <c r="E142" s="75">
        <f>IF(products_parts[[#This Row],[Volume (L)]]=0,products_parts[[#This Row],[Height]]*products_parts[[#This Row],[length]]*products_parts[[#This Row],[Width Total]]/1000000,products_parts[[#This Row],[Volume (L)]])</f>
        <v>1.5707963267948967E-3</v>
      </c>
      <c r="F142" s="75">
        <f>products_parts[esr_dc]*products_parts[Cells in Series]/products_parts[Total Parallel]</f>
        <v>0</v>
      </c>
      <c r="G142" s="75">
        <f>IF(products_parts[[#This Row],[height2]]=0,products_parts[[#This Row],[length]]-products_parts[[#This Row],[lead_space_s]],products_parts[[#This Row],[height2]])</f>
        <v>15</v>
      </c>
      <c r="H142" s="75">
        <f>IF(products_parts[[#This Row],[thickness]]=0,IF(products_parts[[#This Row],[width]]=0,products_parts[[#This Row],[diameter]],products_parts[[#This Row],[width]]),products_parts[[#This Row],[thickness]])</f>
        <v>10</v>
      </c>
      <c r="I142" s="75">
        <f>IF(products_parts[[#This Row],[voltage]]=0,1000,ROUNDUP(WorkingV/products_parts[Operating Voltage (temp)],0))</f>
        <v>5</v>
      </c>
      <c r="J142" s="75">
        <f>ROUNDUP(Constant/(WorkingV-MinV)*((products_parts[esr_dc]/1000*products_parts[[#This Row],[Cap]])+Time)*products_parts[[#This Row],[Cells in Series]]/products_parts[[#This Row],[Cap]],0)</f>
        <v>21</v>
      </c>
      <c r="K142" s="78">
        <f>ROUNDUP(((Constant/WorkingV+Constant/MinV)/2)*(((products_parts[esr_dc]/1000*products_parts[Cap]))+Time)/(WorkingV-MinV)*(products_parts[[#This Row],[Cells in Series]]/products_parts[Cap]),0)</f>
        <v>2</v>
      </c>
      <c r="L142" s="78">
        <f>IF(Calculations!$J$2=1,products_parts[Cells in Parallel],products_parts[Parallel CP])</f>
        <v>21</v>
      </c>
      <c r="M142" s="75">
        <f>products_parts[[#This Row],[Cells in Series]]*products_parts[[#This Row],[Total Parallel]]</f>
        <v>105</v>
      </c>
      <c r="N142" s="76">
        <f>products_parts[[#This Row],[Price per Cell]]*products_parts[[#This Row],[Total '# of Caps]]</f>
        <v>199.5</v>
      </c>
      <c r="O142" s="77">
        <f>products_parts[[#This Row],[Calculated Volume]]*products_parts[[#This Row],[Total '# of Caps]]</f>
        <v>0.16493361431346415</v>
      </c>
      <c r="P142" s="77">
        <f>products_parts[[#This Row],[weight]]*products_parts[[#This Row],[Total '# of Caps]]</f>
        <v>262.5</v>
      </c>
      <c r="Q142" s="78" t="b">
        <f>AND(products_parts[[#This Row],[Height]]&gt;MIN(Calculations!$K$2,Calculations!$L$2),products_parts[[#This Row],[Height]]&lt;MAX(Calculations!$K$2,Calculations!$L$2))</f>
        <v>1</v>
      </c>
      <c r="R142" s="86">
        <f>IF(ISNUMBER(SEARCH("TPL",products_parts[[#This Row],[series]])),1,IF(products_parts[[#This Row],[series]]="PC",1,IF(ISNUMBER(SEARCH("PBL",products_parts[[#This Row],[series]])),2,2)))</f>
        <v>1</v>
      </c>
      <c r="S142" s="78" t="str">
        <f>IF(TempRange=2,IF(products_parts[[#This Row],[voltage2]]=0,"0","1"),"1")</f>
        <v>1</v>
      </c>
      <c r="T142" s="78">
        <f>IF(TempRange=1,products_parts[voltage],products_parts[voltage2])</f>
        <v>2.7</v>
      </c>
      <c r="U142" s="86" t="str">
        <f>IF(ISNUMBER(SEARCH("PBL ",products_parts[series])),"PBL",products_parts[series])</f>
        <v>TPLH Radial</v>
      </c>
      <c r="V142" s="87" t="s">
        <v>227</v>
      </c>
      <c r="W142" s="87" t="s">
        <v>231</v>
      </c>
      <c r="X142" s="68">
        <v>2.7</v>
      </c>
      <c r="Y142" s="68">
        <v>2.2999999999999998</v>
      </c>
      <c r="Z142" s="68">
        <v>6000000</v>
      </c>
      <c r="AA142" s="68">
        <v>0</v>
      </c>
      <c r="AB142" s="68">
        <v>1.4999999999999999E-2</v>
      </c>
      <c r="AC142" s="68">
        <v>10</v>
      </c>
      <c r="AD142" s="68">
        <v>20</v>
      </c>
      <c r="AE142" s="68">
        <v>0</v>
      </c>
      <c r="AF142" s="68">
        <v>0</v>
      </c>
      <c r="AG142" s="68">
        <v>0</v>
      </c>
      <c r="AH142" s="68">
        <v>5</v>
      </c>
      <c r="AI142" s="87" t="s">
        <v>37</v>
      </c>
      <c r="AJ142" s="87" t="s">
        <v>38</v>
      </c>
      <c r="AK142" s="68">
        <v>2.5</v>
      </c>
      <c r="AL142" s="68">
        <v>1.9</v>
      </c>
    </row>
    <row r="143" spans="1:76" x14ac:dyDescent="0.25">
      <c r="A143" s="84">
        <f>products_parts[[#This Row],[Total Price]]+ROW()*0.0001</f>
        <v>110.01430000000001</v>
      </c>
      <c r="B143" s="75">
        <f>products_parts[[#This Row],[cap_uf]]/1000000</f>
        <v>12</v>
      </c>
      <c r="C143" s="93">
        <f>products_parts[[#This Row],[Cap]]*products_parts[Total Parallel]/products_parts[Cells in Series]</f>
        <v>26.4</v>
      </c>
      <c r="D143" s="75">
        <f>PI()*((products_parts[[#This Row],[diameter]]/2)^2)*products_parts[[#This Row],[length]]/1000000</f>
        <v>2.3561944901923449E-3</v>
      </c>
      <c r="E143" s="75">
        <f>IF(products_parts[[#This Row],[Volume (L)]]=0,products_parts[[#This Row],[Height]]*products_parts[[#This Row],[length]]*products_parts[[#This Row],[Width Total]]/1000000,products_parts[[#This Row],[Volume (L)]])</f>
        <v>2.3561944901923449E-3</v>
      </c>
      <c r="F143" s="75">
        <f>products_parts[esr_dc]*products_parts[Cells in Series]/products_parts[Total Parallel]</f>
        <v>0</v>
      </c>
      <c r="G143" s="75">
        <f>IF(products_parts[[#This Row],[height2]]=0,products_parts[[#This Row],[length]]-products_parts[[#This Row],[lead_space_s]],products_parts[[#This Row],[height2]])</f>
        <v>25</v>
      </c>
      <c r="H143" s="75">
        <f>IF(products_parts[[#This Row],[thickness]]=0,IF(products_parts[[#This Row],[width]]=0,products_parts[[#This Row],[diameter]],products_parts[[#This Row],[width]]),products_parts[[#This Row],[thickness]])</f>
        <v>10</v>
      </c>
      <c r="I143" s="75">
        <f>IF(products_parts[[#This Row],[voltage]]=0,1000,ROUNDUP(WorkingV/products_parts[Operating Voltage (temp)],0))</f>
        <v>5</v>
      </c>
      <c r="J143" s="75">
        <f>ROUNDUP(Constant/(WorkingV-MinV)*((products_parts[esr_dc]/1000*products_parts[[#This Row],[Cap]])+Time)*products_parts[[#This Row],[Cells in Series]]/products_parts[[#This Row],[Cap]],0)</f>
        <v>11</v>
      </c>
      <c r="K143" s="78">
        <f>ROUNDUP(((Constant/WorkingV+Constant/MinV)/2)*(((products_parts[esr_dc]/1000*products_parts[Cap]))+Time)/(WorkingV-MinV)*(products_parts[[#This Row],[Cells in Series]]/products_parts[Cap]),0)</f>
        <v>1</v>
      </c>
      <c r="L143" s="78">
        <f>IF(Calculations!$J$2=1,products_parts[Cells in Parallel],products_parts[Parallel CP])</f>
        <v>11</v>
      </c>
      <c r="M143" s="75">
        <f>products_parts[[#This Row],[Cells in Series]]*products_parts[[#This Row],[Total Parallel]]</f>
        <v>55</v>
      </c>
      <c r="N143" s="76">
        <f>products_parts[[#This Row],[Price per Cell]]*products_parts[[#This Row],[Total '# of Caps]]</f>
        <v>110</v>
      </c>
      <c r="O143" s="77">
        <f>products_parts[[#This Row],[Calculated Volume]]*products_parts[[#This Row],[Total '# of Caps]]</f>
        <v>0.12959069696057895</v>
      </c>
      <c r="P143" s="77">
        <f>products_parts[[#This Row],[weight]]*products_parts[[#This Row],[Total '# of Caps]]</f>
        <v>192.5</v>
      </c>
      <c r="Q143" s="78" t="b">
        <f>AND(products_parts[[#This Row],[Height]]&gt;MIN(Calculations!$K$2,Calculations!$L$2),products_parts[[#This Row],[Height]]&lt;MAX(Calculations!$K$2,Calculations!$L$2))</f>
        <v>1</v>
      </c>
      <c r="R143" s="86">
        <f>IF(ISNUMBER(SEARCH("TPL",products_parts[[#This Row],[series]])),1,IF(products_parts[[#This Row],[series]]="PC",1,IF(ISNUMBER(SEARCH("PBL",products_parts[[#This Row],[series]])),2,2)))</f>
        <v>1</v>
      </c>
      <c r="S143" s="78" t="str">
        <f>IF(TempRange=2,IF(products_parts[[#This Row],[voltage2]]=0,"0","1"),"1")</f>
        <v>1</v>
      </c>
      <c r="T143" s="78">
        <f>IF(TempRange=1,products_parts[voltage],products_parts[voltage2])</f>
        <v>2.7</v>
      </c>
      <c r="U143" s="86" t="str">
        <f>IF(ISNUMBER(SEARCH("PBL ",products_parts[series])),"PBL",products_parts[series])</f>
        <v>TPLH Radial</v>
      </c>
      <c r="V143" s="87" t="s">
        <v>227</v>
      </c>
      <c r="W143" s="87" t="s">
        <v>232</v>
      </c>
      <c r="X143" s="68">
        <v>2.7</v>
      </c>
      <c r="Y143" s="68">
        <v>2.2999999999999998</v>
      </c>
      <c r="Z143" s="68">
        <v>12000000</v>
      </c>
      <c r="AA143" s="68">
        <v>0</v>
      </c>
      <c r="AB143" s="68">
        <v>0.03</v>
      </c>
      <c r="AC143" s="68">
        <v>10</v>
      </c>
      <c r="AD143" s="68">
        <v>30</v>
      </c>
      <c r="AE143" s="68">
        <v>0</v>
      </c>
      <c r="AF143" s="68">
        <v>0</v>
      </c>
      <c r="AG143" s="68">
        <v>0</v>
      </c>
      <c r="AH143" s="68">
        <v>5</v>
      </c>
      <c r="AI143" s="87" t="s">
        <v>37</v>
      </c>
      <c r="AJ143" s="87" t="s">
        <v>38</v>
      </c>
      <c r="AK143" s="68">
        <v>3.5</v>
      </c>
      <c r="AL143" s="68">
        <v>2</v>
      </c>
    </row>
    <row r="144" spans="1:76" x14ac:dyDescent="0.25">
      <c r="A144" s="84">
        <f>products_parts[[#This Row],[Total Price]]+ROW()*0.0001</f>
        <v>126.01439999999999</v>
      </c>
      <c r="B144" s="75">
        <f>products_parts[[#This Row],[cap_uf]]/1000000</f>
        <v>22</v>
      </c>
      <c r="C144" s="93">
        <f>products_parts[[#This Row],[Cap]]*products_parts[Total Parallel]/products_parts[Cells in Series]</f>
        <v>26.4</v>
      </c>
      <c r="D144" s="75">
        <f>PI()*((products_parts[[#This Row],[diameter]]/2)^2)*products_parts[[#This Row],[length]]/1000000</f>
        <v>3.865631585471816E-3</v>
      </c>
      <c r="E144" s="75">
        <f>IF(products_parts[[#This Row],[Volume (L)]]=0,products_parts[[#This Row],[Height]]*products_parts[[#This Row],[length]]*products_parts[[#This Row],[Width Total]]/1000000,products_parts[[#This Row],[Volume (L)]])</f>
        <v>3.865631585471816E-3</v>
      </c>
      <c r="F144" s="75">
        <f>products_parts[esr_dc]*products_parts[Cells in Series]/products_parts[Total Parallel]</f>
        <v>0</v>
      </c>
      <c r="G144" s="75">
        <f>IF(products_parts[[#This Row],[height2]]=0,products_parts[[#This Row],[length]]-products_parts[[#This Row],[lead_space_s]],products_parts[[#This Row],[height2]])</f>
        <v>26.2</v>
      </c>
      <c r="H144" s="75">
        <f>IF(products_parts[[#This Row],[thickness]]=0,IF(products_parts[[#This Row],[width]]=0,products_parts[[#This Row],[diameter]],products_parts[[#This Row],[width]]),products_parts[[#This Row],[thickness]])</f>
        <v>12.5</v>
      </c>
      <c r="I144" s="75">
        <f>IF(products_parts[[#This Row],[voltage]]=0,1000,ROUNDUP(WorkingV/products_parts[Operating Voltage (temp)],0))</f>
        <v>5</v>
      </c>
      <c r="J144" s="75">
        <f>ROUNDUP(Constant/(WorkingV-MinV)*((products_parts[esr_dc]/1000*products_parts[[#This Row],[Cap]])+Time)*products_parts[[#This Row],[Cells in Series]]/products_parts[[#This Row],[Cap]],0)</f>
        <v>6</v>
      </c>
      <c r="K144" s="78">
        <f>ROUNDUP(((Constant/WorkingV+Constant/MinV)/2)*(((products_parts[esr_dc]/1000*products_parts[Cap]))+Time)/(WorkingV-MinV)*(products_parts[[#This Row],[Cells in Series]]/products_parts[Cap]),0)</f>
        <v>1</v>
      </c>
      <c r="L144" s="78">
        <f>IF(Calculations!$J$2=1,products_parts[Cells in Parallel],products_parts[Parallel CP])</f>
        <v>6</v>
      </c>
      <c r="M144" s="75">
        <f>products_parts[[#This Row],[Cells in Series]]*products_parts[[#This Row],[Total Parallel]]</f>
        <v>30</v>
      </c>
      <c r="N144" s="76">
        <f>products_parts[[#This Row],[Price per Cell]]*products_parts[[#This Row],[Total '# of Caps]]</f>
        <v>126</v>
      </c>
      <c r="O144" s="77">
        <f>products_parts[[#This Row],[Calculated Volume]]*products_parts[[#This Row],[Total '# of Caps]]</f>
        <v>0.11596894756415448</v>
      </c>
      <c r="P144" s="77">
        <f>products_parts[[#This Row],[weight]]*products_parts[[#This Row],[Total '# of Caps]]</f>
        <v>195</v>
      </c>
      <c r="Q144" s="78" t="b">
        <f>AND(products_parts[[#This Row],[Height]]&gt;MIN(Calculations!$K$2,Calculations!$L$2),products_parts[[#This Row],[Height]]&lt;MAX(Calculations!$K$2,Calculations!$L$2))</f>
        <v>1</v>
      </c>
      <c r="R144" s="86">
        <f>IF(ISNUMBER(SEARCH("TPL",products_parts[[#This Row],[series]])),1,IF(products_parts[[#This Row],[series]]="PC",1,IF(ISNUMBER(SEARCH("PBL",products_parts[[#This Row],[series]])),2,2)))</f>
        <v>1</v>
      </c>
      <c r="S144" s="78" t="str">
        <f>IF(TempRange=2,IF(products_parts[[#This Row],[voltage2]]=0,"0","1"),"1")</f>
        <v>1</v>
      </c>
      <c r="T144" s="78">
        <f>IF(TempRange=1,products_parts[voltage],products_parts[voltage2])</f>
        <v>2.7</v>
      </c>
      <c r="U144" s="86" t="str">
        <f>IF(ISNUMBER(SEARCH("PBL ",products_parts[series])),"PBL",products_parts[series])</f>
        <v>TPLH Radial</v>
      </c>
      <c r="V144" s="87" t="s">
        <v>227</v>
      </c>
      <c r="W144" s="87" t="s">
        <v>233</v>
      </c>
      <c r="X144" s="68">
        <v>2.7</v>
      </c>
      <c r="Y144" s="68">
        <v>2.2999999999999998</v>
      </c>
      <c r="Z144" s="68">
        <v>22000000</v>
      </c>
      <c r="AA144" s="68">
        <v>0</v>
      </c>
      <c r="AB144" s="68">
        <v>5.5E-2</v>
      </c>
      <c r="AC144" s="68">
        <v>12.5</v>
      </c>
      <c r="AD144" s="68">
        <v>31.5</v>
      </c>
      <c r="AE144" s="68">
        <v>0</v>
      </c>
      <c r="AF144" s="68">
        <v>0</v>
      </c>
      <c r="AG144" s="68">
        <v>0</v>
      </c>
      <c r="AH144" s="68">
        <v>5.3</v>
      </c>
      <c r="AI144" s="87" t="s">
        <v>37</v>
      </c>
      <c r="AJ144" s="87" t="s">
        <v>38</v>
      </c>
      <c r="AK144" s="68">
        <v>6.5</v>
      </c>
      <c r="AL144" s="68">
        <v>4.2</v>
      </c>
    </row>
    <row r="145" spans="1:38" x14ac:dyDescent="0.25">
      <c r="A145" s="84">
        <f>products_parts[[#This Row],[Total Price]]+ROW()*0.0001</f>
        <v>100.0145</v>
      </c>
      <c r="B145" s="75">
        <f>products_parts[[#This Row],[cap_uf]]/1000000</f>
        <v>25</v>
      </c>
      <c r="C145" s="93">
        <f>products_parts[[#This Row],[Cap]]*products_parts[Total Parallel]/products_parts[Cells in Series]</f>
        <v>25</v>
      </c>
      <c r="D145" s="75">
        <f>PI()*((products_parts[[#This Row],[diameter]]/2)^2)*products_parts[[#This Row],[length]]/1000000</f>
        <v>4.3565054375952214E-3</v>
      </c>
      <c r="E145" s="75">
        <f>IF(products_parts[[#This Row],[Volume (L)]]=0,products_parts[[#This Row],[Height]]*products_parts[[#This Row],[length]]*products_parts[[#This Row],[Width Total]]/1000000,products_parts[[#This Row],[Volume (L)]])</f>
        <v>4.3565054375952214E-3</v>
      </c>
      <c r="F145" s="75">
        <f>products_parts[esr_dc]*products_parts[Cells in Series]/products_parts[Total Parallel]</f>
        <v>0</v>
      </c>
      <c r="G145" s="75">
        <f>IF(products_parts[[#This Row],[height2]]=0,products_parts[[#This Row],[length]]-products_parts[[#This Row],[lead_space_s]],products_parts[[#This Row],[height2]])</f>
        <v>30.2</v>
      </c>
      <c r="H145" s="75">
        <f>IF(products_parts[[#This Row],[thickness]]=0,IF(products_parts[[#This Row],[width]]=0,products_parts[[#This Row],[diameter]],products_parts[[#This Row],[width]]),products_parts[[#This Row],[thickness]])</f>
        <v>12.5</v>
      </c>
      <c r="I145" s="75">
        <f>IF(products_parts[[#This Row],[voltage]]=0,1000,ROUNDUP(WorkingV/products_parts[Operating Voltage (temp)],0))</f>
        <v>5</v>
      </c>
      <c r="J145" s="75">
        <f>ROUNDUP(Constant/(WorkingV-MinV)*((products_parts[esr_dc]/1000*products_parts[[#This Row],[Cap]])+Time)*products_parts[[#This Row],[Cells in Series]]/products_parts[[#This Row],[Cap]],0)</f>
        <v>5</v>
      </c>
      <c r="K145" s="78">
        <f>ROUNDUP(((Constant/WorkingV+Constant/MinV)/2)*(((products_parts[esr_dc]/1000*products_parts[Cap]))+Time)/(WorkingV-MinV)*(products_parts[[#This Row],[Cells in Series]]/products_parts[Cap]),0)</f>
        <v>1</v>
      </c>
      <c r="L145" s="78">
        <f>IF(Calculations!$J$2=1,products_parts[Cells in Parallel],products_parts[Parallel CP])</f>
        <v>5</v>
      </c>
      <c r="M145" s="75">
        <f>products_parts[[#This Row],[Cells in Series]]*products_parts[[#This Row],[Total Parallel]]</f>
        <v>25</v>
      </c>
      <c r="N145" s="76">
        <f>products_parts[[#This Row],[Price per Cell]]*products_parts[[#This Row],[Total '# of Caps]]</f>
        <v>100</v>
      </c>
      <c r="O145" s="77">
        <f>products_parts[[#This Row],[Calculated Volume]]*products_parts[[#This Row],[Total '# of Caps]]</f>
        <v>0.10891263593988054</v>
      </c>
      <c r="P145" s="77">
        <f>products_parts[[#This Row],[weight]]*products_parts[[#This Row],[Total '# of Caps]]</f>
        <v>175</v>
      </c>
      <c r="Q145" s="78" t="b">
        <f>AND(products_parts[[#This Row],[Height]]&gt;MIN(Calculations!$K$2,Calculations!$L$2),products_parts[[#This Row],[Height]]&lt;MAX(Calculations!$K$2,Calculations!$L$2))</f>
        <v>1</v>
      </c>
      <c r="R145" s="86">
        <f>IF(ISNUMBER(SEARCH("TPL",products_parts[[#This Row],[series]])),1,IF(products_parts[[#This Row],[series]]="PC",1,IF(ISNUMBER(SEARCH("PBL",products_parts[[#This Row],[series]])),2,2)))</f>
        <v>1</v>
      </c>
      <c r="S145" s="78" t="str">
        <f>IF(TempRange=2,IF(products_parts[[#This Row],[voltage2]]=0,"0","1"),"1")</f>
        <v>1</v>
      </c>
      <c r="T145" s="78">
        <f>IF(TempRange=1,products_parts[voltage],products_parts[voltage2])</f>
        <v>2.7</v>
      </c>
      <c r="U145" s="86" t="str">
        <f>IF(ISNUMBER(SEARCH("PBL ",products_parts[series])),"PBL",products_parts[series])</f>
        <v>TPLH Radial</v>
      </c>
      <c r="V145" s="87" t="s">
        <v>227</v>
      </c>
      <c r="W145" s="87" t="s">
        <v>234</v>
      </c>
      <c r="X145" s="68">
        <v>2.7</v>
      </c>
      <c r="Y145" s="68">
        <v>2.2999999999999998</v>
      </c>
      <c r="Z145" s="68">
        <v>25000000</v>
      </c>
      <c r="AA145" s="68">
        <v>0</v>
      </c>
      <c r="AB145" s="68">
        <v>0.06</v>
      </c>
      <c r="AC145" s="68">
        <v>12.5</v>
      </c>
      <c r="AD145" s="68">
        <v>35.5</v>
      </c>
      <c r="AE145" s="68">
        <v>0</v>
      </c>
      <c r="AF145" s="68">
        <v>0</v>
      </c>
      <c r="AG145" s="68">
        <v>0</v>
      </c>
      <c r="AH145" s="68">
        <v>5.3</v>
      </c>
      <c r="AI145" s="87" t="s">
        <v>37</v>
      </c>
      <c r="AJ145" s="87" t="s">
        <v>38</v>
      </c>
      <c r="AK145" s="68">
        <v>7</v>
      </c>
      <c r="AL145" s="68">
        <v>4</v>
      </c>
    </row>
    <row r="146" spans="1:38" x14ac:dyDescent="0.25">
      <c r="A146" s="84">
        <f>products_parts[[#This Row],[Total Price]]+ROW()*0.0001</f>
        <v>107.5146</v>
      </c>
      <c r="B146" s="75">
        <f>products_parts[[#This Row],[cap_uf]]/1000000</f>
        <v>28</v>
      </c>
      <c r="C146" s="93">
        <f>products_parts[[#This Row],[Cap]]*products_parts[Total Parallel]/products_parts[Cells in Series]</f>
        <v>28</v>
      </c>
      <c r="D146" s="75">
        <f>PI()*((products_parts[[#This Row],[diameter]]/2)^2)*products_parts[[#This Row],[length]]/1000000</f>
        <v>4.3565054375952214E-3</v>
      </c>
      <c r="E146" s="75">
        <f>IF(products_parts[[#This Row],[Volume (L)]]=0,products_parts[[#This Row],[Height]]*products_parts[[#This Row],[length]]*products_parts[[#This Row],[Width Total]]/1000000,products_parts[[#This Row],[Volume (L)]])</f>
        <v>4.3565054375952214E-3</v>
      </c>
      <c r="F146" s="75">
        <f>products_parts[esr_dc]*products_parts[Cells in Series]/products_parts[Total Parallel]</f>
        <v>0</v>
      </c>
      <c r="G146" s="75">
        <f>IF(products_parts[[#This Row],[height2]]=0,products_parts[[#This Row],[length]]-products_parts[[#This Row],[lead_space_s]],products_parts[[#This Row],[height2]])</f>
        <v>30.2</v>
      </c>
      <c r="H146" s="75">
        <f>IF(products_parts[[#This Row],[thickness]]=0,IF(products_parts[[#This Row],[width]]=0,products_parts[[#This Row],[diameter]],products_parts[[#This Row],[width]]),products_parts[[#This Row],[thickness]])</f>
        <v>12.5</v>
      </c>
      <c r="I146" s="75">
        <f>IF(products_parts[[#This Row],[voltage]]=0,1000,ROUNDUP(WorkingV/products_parts[Operating Voltage (temp)],0))</f>
        <v>5</v>
      </c>
      <c r="J146" s="75">
        <f>ROUNDUP(Constant/(WorkingV-MinV)*((products_parts[esr_dc]/1000*products_parts[[#This Row],[Cap]])+Time)*products_parts[[#This Row],[Cells in Series]]/products_parts[[#This Row],[Cap]],0)</f>
        <v>5</v>
      </c>
      <c r="K146" s="78">
        <f>ROUNDUP(((Constant/WorkingV+Constant/MinV)/2)*(((products_parts[esr_dc]/1000*products_parts[Cap]))+Time)/(WorkingV-MinV)*(products_parts[[#This Row],[Cells in Series]]/products_parts[Cap]),0)</f>
        <v>1</v>
      </c>
      <c r="L146" s="78">
        <f>IF(Calculations!$J$2=1,products_parts[Cells in Parallel],products_parts[Parallel CP])</f>
        <v>5</v>
      </c>
      <c r="M146" s="75">
        <f>products_parts[[#This Row],[Cells in Series]]*products_parts[[#This Row],[Total Parallel]]</f>
        <v>25</v>
      </c>
      <c r="N146" s="76">
        <f>products_parts[[#This Row],[Price per Cell]]*products_parts[[#This Row],[Total '# of Caps]]</f>
        <v>107.5</v>
      </c>
      <c r="O146" s="77">
        <f>products_parts[[#This Row],[Calculated Volume]]*products_parts[[#This Row],[Total '# of Caps]]</f>
        <v>0.10891263593988054</v>
      </c>
      <c r="P146" s="77">
        <f>products_parts[[#This Row],[weight]]*products_parts[[#This Row],[Total '# of Caps]]</f>
        <v>182.5</v>
      </c>
      <c r="Q146" s="78" t="b">
        <f>AND(products_parts[[#This Row],[Height]]&gt;MIN(Calculations!$K$2,Calculations!$L$2),products_parts[[#This Row],[Height]]&lt;MAX(Calculations!$K$2,Calculations!$L$2))</f>
        <v>1</v>
      </c>
      <c r="R146" s="86">
        <f>IF(ISNUMBER(SEARCH("TPL",products_parts[[#This Row],[series]])),1,IF(products_parts[[#This Row],[series]]="PC",1,IF(ISNUMBER(SEARCH("PBL",products_parts[[#This Row],[series]])),2,2)))</f>
        <v>1</v>
      </c>
      <c r="S146" s="78" t="str">
        <f>IF(TempRange=2,IF(products_parts[[#This Row],[voltage2]]=0,"0","1"),"1")</f>
        <v>1</v>
      </c>
      <c r="T146" s="78">
        <f>IF(TempRange=1,products_parts[voltage],products_parts[voltage2])</f>
        <v>2.7</v>
      </c>
      <c r="U146" s="86" t="str">
        <f>IF(ISNUMBER(SEARCH("PBL ",products_parts[series])),"PBL",products_parts[series])</f>
        <v>TPLH Radial</v>
      </c>
      <c r="V146" s="87" t="s">
        <v>227</v>
      </c>
      <c r="W146" s="87" t="s">
        <v>235</v>
      </c>
      <c r="X146" s="68">
        <v>2.7</v>
      </c>
      <c r="Y146" s="68">
        <v>2.2999999999999998</v>
      </c>
      <c r="Z146" s="68">
        <v>28000000</v>
      </c>
      <c r="AA146" s="68">
        <v>0</v>
      </c>
      <c r="AB146" s="68">
        <v>0.06</v>
      </c>
      <c r="AC146" s="68">
        <v>12.5</v>
      </c>
      <c r="AD146" s="68">
        <v>35.5</v>
      </c>
      <c r="AE146" s="68">
        <v>0</v>
      </c>
      <c r="AF146" s="68">
        <v>0</v>
      </c>
      <c r="AG146" s="68">
        <v>0</v>
      </c>
      <c r="AH146" s="68">
        <v>5.3</v>
      </c>
      <c r="AI146" s="87" t="s">
        <v>37</v>
      </c>
      <c r="AJ146" s="87" t="s">
        <v>38</v>
      </c>
      <c r="AK146" s="68">
        <v>7.3</v>
      </c>
      <c r="AL146" s="68">
        <v>4.3</v>
      </c>
    </row>
    <row r="147" spans="1:38" x14ac:dyDescent="0.25">
      <c r="A147" s="84">
        <f>products_parts[[#This Row],[Total Price]]+ROW()*0.0001</f>
        <v>112.5147</v>
      </c>
      <c r="B147" s="75">
        <f>products_parts[[#This Row],[cap_uf]]/1000000</f>
        <v>30</v>
      </c>
      <c r="C147" s="93">
        <f>products_parts[[#This Row],[Cap]]*products_parts[Total Parallel]/products_parts[Cells in Series]</f>
        <v>30</v>
      </c>
      <c r="D147" s="75">
        <f>PI()*((products_parts[[#This Row],[diameter]]/2)^2)*products_parts[[#This Row],[length]]/1000000</f>
        <v>4.3565054375952214E-3</v>
      </c>
      <c r="E147" s="75">
        <f>IF(products_parts[[#This Row],[Volume (L)]]=0,products_parts[[#This Row],[Height]]*products_parts[[#This Row],[length]]*products_parts[[#This Row],[Width Total]]/1000000,products_parts[[#This Row],[Volume (L)]])</f>
        <v>4.3565054375952214E-3</v>
      </c>
      <c r="F147" s="75">
        <f>products_parts[esr_dc]*products_parts[Cells in Series]/products_parts[Total Parallel]</f>
        <v>0</v>
      </c>
      <c r="G147" s="75">
        <f>IF(products_parts[[#This Row],[height2]]=0,products_parts[[#This Row],[length]]-products_parts[[#This Row],[lead_space_s]],products_parts[[#This Row],[height2]])</f>
        <v>30.2</v>
      </c>
      <c r="H147" s="75">
        <f>IF(products_parts[[#This Row],[thickness]]=0,IF(products_parts[[#This Row],[width]]=0,products_parts[[#This Row],[diameter]],products_parts[[#This Row],[width]]),products_parts[[#This Row],[thickness]])</f>
        <v>12.5</v>
      </c>
      <c r="I147" s="75">
        <f>IF(products_parts[[#This Row],[voltage]]=0,1000,ROUNDUP(WorkingV/products_parts[Operating Voltage (temp)],0))</f>
        <v>5</v>
      </c>
      <c r="J147" s="75">
        <f>ROUNDUP(Constant/(WorkingV-MinV)*((products_parts[esr_dc]/1000*products_parts[[#This Row],[Cap]])+Time)*products_parts[[#This Row],[Cells in Series]]/products_parts[[#This Row],[Cap]],0)</f>
        <v>5</v>
      </c>
      <c r="K147" s="78">
        <f>ROUNDUP(((Constant/WorkingV+Constant/MinV)/2)*(((products_parts[esr_dc]/1000*products_parts[Cap]))+Time)/(WorkingV-MinV)*(products_parts[[#This Row],[Cells in Series]]/products_parts[Cap]),0)</f>
        <v>1</v>
      </c>
      <c r="L147" s="78">
        <f>IF(Calculations!$J$2=1,products_parts[Cells in Parallel],products_parts[Parallel CP])</f>
        <v>5</v>
      </c>
      <c r="M147" s="75">
        <f>products_parts[[#This Row],[Cells in Series]]*products_parts[[#This Row],[Total Parallel]]</f>
        <v>25</v>
      </c>
      <c r="N147" s="76">
        <f>products_parts[[#This Row],[Price per Cell]]*products_parts[[#This Row],[Total '# of Caps]]</f>
        <v>112.5</v>
      </c>
      <c r="O147" s="77">
        <f>products_parts[[#This Row],[Calculated Volume]]*products_parts[[#This Row],[Total '# of Caps]]</f>
        <v>0.10891263593988054</v>
      </c>
      <c r="P147" s="77">
        <f>products_parts[[#This Row],[weight]]*products_parts[[#This Row],[Total '# of Caps]]</f>
        <v>212.5</v>
      </c>
      <c r="Q147" s="78" t="b">
        <f>AND(products_parts[[#This Row],[Height]]&gt;MIN(Calculations!$K$2,Calculations!$L$2),products_parts[[#This Row],[Height]]&lt;MAX(Calculations!$K$2,Calculations!$L$2))</f>
        <v>1</v>
      </c>
      <c r="R147" s="86">
        <f>IF(ISNUMBER(SEARCH("TPL",products_parts[[#This Row],[series]])),1,IF(products_parts[[#This Row],[series]]="PC",1,IF(ISNUMBER(SEARCH("PBL",products_parts[[#This Row],[series]])),2,2)))</f>
        <v>1</v>
      </c>
      <c r="S147" s="78" t="str">
        <f>IF(TempRange=2,IF(products_parts[[#This Row],[voltage2]]=0,"0","1"),"1")</f>
        <v>1</v>
      </c>
      <c r="T147" s="78">
        <f>IF(TempRange=1,products_parts[voltage],products_parts[voltage2])</f>
        <v>2.7</v>
      </c>
      <c r="U147" s="86" t="str">
        <f>IF(ISNUMBER(SEARCH("PBL ",products_parts[series])),"PBL",products_parts[series])</f>
        <v>TPLH Radial</v>
      </c>
      <c r="V147" s="87" t="s">
        <v>227</v>
      </c>
      <c r="W147" s="87" t="s">
        <v>236</v>
      </c>
      <c r="X147" s="68">
        <v>2.7</v>
      </c>
      <c r="Y147" s="68">
        <v>2.2999999999999998</v>
      </c>
      <c r="Z147" s="68">
        <v>30000000</v>
      </c>
      <c r="AA147" s="68">
        <v>0</v>
      </c>
      <c r="AB147" s="68">
        <v>0.08</v>
      </c>
      <c r="AC147" s="68">
        <v>12.5</v>
      </c>
      <c r="AD147" s="68">
        <v>35.5</v>
      </c>
      <c r="AE147" s="68">
        <v>0</v>
      </c>
      <c r="AF147" s="68">
        <v>0</v>
      </c>
      <c r="AG147" s="68">
        <v>0</v>
      </c>
      <c r="AH147" s="68">
        <v>5.3</v>
      </c>
      <c r="AI147" s="87" t="s">
        <v>37</v>
      </c>
      <c r="AJ147" s="87" t="s">
        <v>38</v>
      </c>
      <c r="AK147" s="68">
        <v>8.5</v>
      </c>
      <c r="AL147" s="68">
        <v>4.5</v>
      </c>
    </row>
    <row r="148" spans="1:38" x14ac:dyDescent="0.25">
      <c r="A148" s="84">
        <f>products_parts[[#This Row],[Total Price]]+ROW()*0.0001</f>
        <v>112.51479999999999</v>
      </c>
      <c r="B148" s="75">
        <f>products_parts[[#This Row],[cap_uf]]/1000000</f>
        <v>30</v>
      </c>
      <c r="C148" s="93">
        <f>products_parts[[#This Row],[Cap]]*products_parts[Total Parallel]/products_parts[Cells in Series]</f>
        <v>30</v>
      </c>
      <c r="D148" s="75">
        <f>PI()*((products_parts[[#This Row],[diameter]]/2)^2)*products_parts[[#This Row],[length]]/1000000</f>
        <v>5.2276101755734158E-3</v>
      </c>
      <c r="E148" s="75">
        <f>IF(products_parts[[#This Row],[Volume (L)]]=0,products_parts[[#This Row],[Height]]*products_parts[[#This Row],[length]]*products_parts[[#This Row],[Width Total]]/1000000,products_parts[[#This Row],[Volume (L)]])</f>
        <v>5.2276101755734158E-3</v>
      </c>
      <c r="F148" s="75">
        <f>products_parts[esr_dc]*products_parts[Cells in Series]/products_parts[Total Parallel]</f>
        <v>0</v>
      </c>
      <c r="G148" s="75">
        <f>IF(products_parts[[#This Row],[height2]]=0,products_parts[[#This Row],[length]]-products_parts[[#This Row],[lead_space_s]],products_parts[[#This Row],[height2]])</f>
        <v>18.5</v>
      </c>
      <c r="H148" s="75">
        <f>IF(products_parts[[#This Row],[thickness]]=0,IF(products_parts[[#This Row],[width]]=0,products_parts[[#This Row],[diameter]],products_parts[[#This Row],[width]]),products_parts[[#This Row],[thickness]])</f>
        <v>16</v>
      </c>
      <c r="I148" s="75">
        <f>IF(products_parts[[#This Row],[voltage]]=0,1000,ROUNDUP(WorkingV/products_parts[Operating Voltage (temp)],0))</f>
        <v>5</v>
      </c>
      <c r="J148" s="75">
        <f>ROUNDUP(Constant/(WorkingV-MinV)*((products_parts[esr_dc]/1000*products_parts[[#This Row],[Cap]])+Time)*products_parts[[#This Row],[Cells in Series]]/products_parts[[#This Row],[Cap]],0)</f>
        <v>5</v>
      </c>
      <c r="K148" s="78">
        <f>ROUNDUP(((Constant/WorkingV+Constant/MinV)/2)*(((products_parts[esr_dc]/1000*products_parts[Cap]))+Time)/(WorkingV-MinV)*(products_parts[[#This Row],[Cells in Series]]/products_parts[Cap]),0)</f>
        <v>1</v>
      </c>
      <c r="L148" s="78">
        <f>IF(Calculations!$J$2=1,products_parts[Cells in Parallel],products_parts[Parallel CP])</f>
        <v>5</v>
      </c>
      <c r="M148" s="75">
        <f>products_parts[[#This Row],[Cells in Series]]*products_parts[[#This Row],[Total Parallel]]</f>
        <v>25</v>
      </c>
      <c r="N148" s="76">
        <f>products_parts[[#This Row],[Price per Cell]]*products_parts[[#This Row],[Total '# of Caps]]</f>
        <v>112.5</v>
      </c>
      <c r="O148" s="77">
        <f>products_parts[[#This Row],[Calculated Volume]]*products_parts[[#This Row],[Total '# of Caps]]</f>
        <v>0.1306902543893354</v>
      </c>
      <c r="P148" s="77">
        <f>products_parts[[#This Row],[weight]]*products_parts[[#This Row],[Total '# of Caps]]</f>
        <v>212.5</v>
      </c>
      <c r="Q148" s="78" t="b">
        <f>AND(products_parts[[#This Row],[Height]]&gt;MIN(Calculations!$K$2,Calculations!$L$2),products_parts[[#This Row],[Height]]&lt;MAX(Calculations!$K$2,Calculations!$L$2))</f>
        <v>1</v>
      </c>
      <c r="R148" s="86">
        <f>IF(ISNUMBER(SEARCH("TPL",products_parts[[#This Row],[series]])),1,IF(products_parts[[#This Row],[series]]="PC",1,IF(ISNUMBER(SEARCH("PBL",products_parts[[#This Row],[series]])),2,2)))</f>
        <v>1</v>
      </c>
      <c r="S148" s="78" t="str">
        <f>IF(TempRange=2,IF(products_parts[[#This Row],[voltage2]]=0,"0","1"),"1")</f>
        <v>1</v>
      </c>
      <c r="T148" s="78">
        <f>IF(TempRange=1,products_parts[voltage],products_parts[voltage2])</f>
        <v>2.7</v>
      </c>
      <c r="U148" s="86" t="str">
        <f>IF(ISNUMBER(SEARCH("PBL ",products_parts[series])),"PBL",products_parts[series])</f>
        <v>TPLH Radial</v>
      </c>
      <c r="V148" s="87" t="s">
        <v>227</v>
      </c>
      <c r="W148" s="87" t="s">
        <v>237</v>
      </c>
      <c r="X148" s="68">
        <v>2.7</v>
      </c>
      <c r="Y148" s="68">
        <v>2.2999999999999998</v>
      </c>
      <c r="Z148" s="68">
        <v>30000000</v>
      </c>
      <c r="AA148" s="68">
        <v>0</v>
      </c>
      <c r="AB148" s="68">
        <v>0.08</v>
      </c>
      <c r="AC148" s="68">
        <v>16</v>
      </c>
      <c r="AD148" s="68">
        <v>26</v>
      </c>
      <c r="AE148" s="68">
        <v>0</v>
      </c>
      <c r="AF148" s="68">
        <v>0</v>
      </c>
      <c r="AG148" s="68">
        <v>0</v>
      </c>
      <c r="AH148" s="68">
        <v>7.5</v>
      </c>
      <c r="AI148" s="87" t="s">
        <v>37</v>
      </c>
      <c r="AJ148" s="87" t="s">
        <v>38</v>
      </c>
      <c r="AK148" s="68">
        <v>8.5</v>
      </c>
      <c r="AL148" s="68">
        <v>4.5</v>
      </c>
    </row>
    <row r="149" spans="1:38" x14ac:dyDescent="0.25">
      <c r="A149" s="84">
        <f>products_parts[[#This Row],[Total Price]]+ROW()*0.0001</f>
        <v>95.014899999999997</v>
      </c>
      <c r="B149" s="75">
        <f>products_parts[[#This Row],[cap_uf]]/1000000</f>
        <v>34</v>
      </c>
      <c r="C149" s="93">
        <f>products_parts[[#This Row],[Cap]]*products_parts[Total Parallel]/products_parts[Cells in Series]</f>
        <v>27.2</v>
      </c>
      <c r="D149" s="75">
        <f>PI()*((products_parts[[#This Row],[diameter]]/2)^2)*products_parts[[#This Row],[length]]/1000000</f>
        <v>4.9087385212340526E-3</v>
      </c>
      <c r="E149" s="75">
        <f>IF(products_parts[[#This Row],[Volume (L)]]=0,products_parts[[#This Row],[Height]]*products_parts[[#This Row],[length]]*products_parts[[#This Row],[Width Total]]/1000000,products_parts[[#This Row],[Volume (L)]])</f>
        <v>4.9087385212340526E-3</v>
      </c>
      <c r="F149" s="75">
        <f>products_parts[esr_dc]*products_parts[Cells in Series]/products_parts[Total Parallel]</f>
        <v>0</v>
      </c>
      <c r="G149" s="75">
        <f>IF(products_parts[[#This Row],[height2]]=0,products_parts[[#This Row],[length]]-products_parts[[#This Row],[lead_space_s]],products_parts[[#This Row],[height2]])</f>
        <v>34.700000000000003</v>
      </c>
      <c r="H149" s="75">
        <f>IF(products_parts[[#This Row],[thickness]]=0,IF(products_parts[[#This Row],[width]]=0,products_parts[[#This Row],[diameter]],products_parts[[#This Row],[width]]),products_parts[[#This Row],[thickness]])</f>
        <v>12.5</v>
      </c>
      <c r="I149" s="75">
        <f>IF(products_parts[[#This Row],[voltage]]=0,1000,ROUNDUP(WorkingV/products_parts[Operating Voltage (temp)],0))</f>
        <v>5</v>
      </c>
      <c r="J149" s="75">
        <f>ROUNDUP(Constant/(WorkingV-MinV)*((products_parts[esr_dc]/1000*products_parts[[#This Row],[Cap]])+Time)*products_parts[[#This Row],[Cells in Series]]/products_parts[[#This Row],[Cap]],0)</f>
        <v>4</v>
      </c>
      <c r="K149" s="78">
        <f>ROUNDUP(((Constant/WorkingV+Constant/MinV)/2)*(((products_parts[esr_dc]/1000*products_parts[Cap]))+Time)/(WorkingV-MinV)*(products_parts[[#This Row],[Cells in Series]]/products_parts[Cap]),0)</f>
        <v>1</v>
      </c>
      <c r="L149" s="78">
        <f>IF(Calculations!$J$2=1,products_parts[Cells in Parallel],products_parts[Parallel CP])</f>
        <v>4</v>
      </c>
      <c r="M149" s="75">
        <f>products_parts[[#This Row],[Cells in Series]]*products_parts[[#This Row],[Total Parallel]]</f>
        <v>20</v>
      </c>
      <c r="N149" s="76">
        <f>products_parts[[#This Row],[Price per Cell]]*products_parts[[#This Row],[Total '# of Caps]]</f>
        <v>95</v>
      </c>
      <c r="O149" s="77">
        <f>products_parts[[#This Row],[Calculated Volume]]*products_parts[[#This Row],[Total '# of Caps]]</f>
        <v>9.8174770424681049E-2</v>
      </c>
      <c r="P149" s="77">
        <f>products_parts[[#This Row],[weight]]*products_parts[[#This Row],[Total '# of Caps]]</f>
        <v>170</v>
      </c>
      <c r="Q149" s="78" t="b">
        <f>AND(products_parts[[#This Row],[Height]]&gt;MIN(Calculations!$K$2,Calculations!$L$2),products_parts[[#This Row],[Height]]&lt;MAX(Calculations!$K$2,Calculations!$L$2))</f>
        <v>1</v>
      </c>
      <c r="R149" s="86">
        <f>IF(ISNUMBER(SEARCH("TPL",products_parts[[#This Row],[series]])),1,IF(products_parts[[#This Row],[series]]="PC",1,IF(ISNUMBER(SEARCH("PBL",products_parts[[#This Row],[series]])),2,2)))</f>
        <v>1</v>
      </c>
      <c r="S149" s="78" t="str">
        <f>IF(TempRange=2,IF(products_parts[[#This Row],[voltage2]]=0,"0","1"),"1")</f>
        <v>1</v>
      </c>
      <c r="T149" s="78">
        <f>IF(TempRange=1,products_parts[voltage],products_parts[voltage2])</f>
        <v>2.7</v>
      </c>
      <c r="U149" s="86" t="str">
        <f>IF(ISNUMBER(SEARCH("PBL ",products_parts[series])),"PBL",products_parts[series])</f>
        <v>TPLH Radial</v>
      </c>
      <c r="V149" s="87" t="s">
        <v>227</v>
      </c>
      <c r="W149" s="87" t="s">
        <v>238</v>
      </c>
      <c r="X149" s="68">
        <v>2.7</v>
      </c>
      <c r="Y149" s="68">
        <v>2.2999999999999998</v>
      </c>
      <c r="Z149" s="68">
        <v>34000000</v>
      </c>
      <c r="AA149" s="68">
        <v>0</v>
      </c>
      <c r="AB149" s="68">
        <v>7.0000000000000007E-2</v>
      </c>
      <c r="AC149" s="68">
        <v>12.5</v>
      </c>
      <c r="AD149" s="68">
        <v>40</v>
      </c>
      <c r="AE149" s="68">
        <v>0</v>
      </c>
      <c r="AF149" s="68">
        <v>0</v>
      </c>
      <c r="AG149" s="68">
        <v>0</v>
      </c>
      <c r="AH149" s="68">
        <v>5.3</v>
      </c>
      <c r="AI149" s="87" t="s">
        <v>37</v>
      </c>
      <c r="AJ149" s="87" t="s">
        <v>38</v>
      </c>
      <c r="AK149" s="68">
        <v>8.5</v>
      </c>
      <c r="AL149" s="68">
        <v>4.75</v>
      </c>
    </row>
    <row r="150" spans="1:38" x14ac:dyDescent="0.25">
      <c r="A150" s="84">
        <f>products_parts[[#This Row],[Total Price]]+ROW()*0.0001</f>
        <v>95.015000000000001</v>
      </c>
      <c r="B150" s="75">
        <f>products_parts[[#This Row],[cap_uf]]/1000000</f>
        <v>35</v>
      </c>
      <c r="C150" s="93">
        <f>products_parts[[#This Row],[Cap]]*products_parts[Total Parallel]/products_parts[Cells in Series]</f>
        <v>28</v>
      </c>
      <c r="D150" s="75">
        <f>PI()*((products_parts[[#This Row],[diameter]]/2)^2)*products_parts[[#This Row],[length]]/1000000</f>
        <v>6.3334507896370233E-3</v>
      </c>
      <c r="E150" s="75">
        <f>IF(products_parts[[#This Row],[Volume (L)]]=0,products_parts[[#This Row],[Height]]*products_parts[[#This Row],[length]]*products_parts[[#This Row],[Width Total]]/1000000,products_parts[[#This Row],[Volume (L)]])</f>
        <v>6.3334507896370233E-3</v>
      </c>
      <c r="F150" s="75">
        <f>products_parts[esr_dc]*products_parts[Cells in Series]/products_parts[Total Parallel]</f>
        <v>0</v>
      </c>
      <c r="G150" s="75">
        <f>IF(products_parts[[#This Row],[height2]]=0,products_parts[[#This Row],[length]]-products_parts[[#This Row],[lead_space_s]],products_parts[[#This Row],[height2]])</f>
        <v>24</v>
      </c>
      <c r="H150" s="75">
        <f>IF(products_parts[[#This Row],[thickness]]=0,IF(products_parts[[#This Row],[width]]=0,products_parts[[#This Row],[diameter]],products_parts[[#This Row],[width]]),products_parts[[#This Row],[thickness]])</f>
        <v>16</v>
      </c>
      <c r="I150" s="75">
        <f>IF(products_parts[[#This Row],[voltage]]=0,1000,ROUNDUP(WorkingV/products_parts[Operating Voltage (temp)],0))</f>
        <v>5</v>
      </c>
      <c r="J150" s="75">
        <f>ROUNDUP(Constant/(WorkingV-MinV)*((products_parts[esr_dc]/1000*products_parts[[#This Row],[Cap]])+Time)*products_parts[[#This Row],[Cells in Series]]/products_parts[[#This Row],[Cap]],0)</f>
        <v>4</v>
      </c>
      <c r="K150" s="78">
        <f>ROUNDUP(((Constant/WorkingV+Constant/MinV)/2)*(((products_parts[esr_dc]/1000*products_parts[Cap]))+Time)/(WorkingV-MinV)*(products_parts[[#This Row],[Cells in Series]]/products_parts[Cap]),0)</f>
        <v>1</v>
      </c>
      <c r="L150" s="78">
        <f>IF(Calculations!$J$2=1,products_parts[Cells in Parallel],products_parts[Parallel CP])</f>
        <v>4</v>
      </c>
      <c r="M150" s="75">
        <f>products_parts[[#This Row],[Cells in Series]]*products_parts[[#This Row],[Total Parallel]]</f>
        <v>20</v>
      </c>
      <c r="N150" s="76">
        <f>products_parts[[#This Row],[Price per Cell]]*products_parts[[#This Row],[Total '# of Caps]]</f>
        <v>95</v>
      </c>
      <c r="O150" s="77">
        <f>products_parts[[#This Row],[Calculated Volume]]*products_parts[[#This Row],[Total '# of Caps]]</f>
        <v>0.12666901579274048</v>
      </c>
      <c r="P150" s="77">
        <f>products_parts[[#This Row],[weight]]*products_parts[[#This Row],[Total '# of Caps]]</f>
        <v>170</v>
      </c>
      <c r="Q150" s="78" t="b">
        <f>AND(products_parts[[#This Row],[Height]]&gt;MIN(Calculations!$K$2,Calculations!$L$2),products_parts[[#This Row],[Height]]&lt;MAX(Calculations!$K$2,Calculations!$L$2))</f>
        <v>1</v>
      </c>
      <c r="R150" s="86">
        <f>IF(ISNUMBER(SEARCH("TPL",products_parts[[#This Row],[series]])),1,IF(products_parts[[#This Row],[series]]="PC",1,IF(ISNUMBER(SEARCH("PBL",products_parts[[#This Row],[series]])),2,2)))</f>
        <v>1</v>
      </c>
      <c r="S150" s="78" t="str">
        <f>IF(TempRange=2,IF(products_parts[[#This Row],[voltage2]]=0,"0","1"),"1")</f>
        <v>1</v>
      </c>
      <c r="T150" s="78">
        <f>IF(TempRange=1,products_parts[voltage],products_parts[voltage2])</f>
        <v>2.7</v>
      </c>
      <c r="U150" s="86" t="str">
        <f>IF(ISNUMBER(SEARCH("PBL ",products_parts[series])),"PBL",products_parts[series])</f>
        <v>TPLH Radial</v>
      </c>
      <c r="V150" s="87" t="s">
        <v>227</v>
      </c>
      <c r="W150" s="87" t="s">
        <v>239</v>
      </c>
      <c r="X150" s="68">
        <v>2.7</v>
      </c>
      <c r="Y150" s="68">
        <v>2.2999999999999998</v>
      </c>
      <c r="Z150" s="68">
        <v>35000000</v>
      </c>
      <c r="AA150" s="68">
        <v>0</v>
      </c>
      <c r="AB150" s="68">
        <v>7.0000000000000007E-2</v>
      </c>
      <c r="AC150" s="68">
        <v>16</v>
      </c>
      <c r="AD150" s="68">
        <v>31.5</v>
      </c>
      <c r="AE150" s="68">
        <v>0</v>
      </c>
      <c r="AF150" s="68">
        <v>0</v>
      </c>
      <c r="AG150" s="68">
        <v>0</v>
      </c>
      <c r="AH150" s="68">
        <v>7.5</v>
      </c>
      <c r="AI150" s="87" t="s">
        <v>37</v>
      </c>
      <c r="AJ150" s="87" t="s">
        <v>38</v>
      </c>
      <c r="AK150" s="68">
        <v>8.5</v>
      </c>
      <c r="AL150" s="68">
        <v>4.75</v>
      </c>
    </row>
    <row r="151" spans="1:38" x14ac:dyDescent="0.25">
      <c r="A151" s="84">
        <f>products_parts[[#This Row],[Total Price]]+ROW()*0.0001</f>
        <v>105.0151</v>
      </c>
      <c r="B151" s="75">
        <f>products_parts[[#This Row],[cap_uf]]/1000000</f>
        <v>40</v>
      </c>
      <c r="C151" s="93">
        <f>products_parts[[#This Row],[Cap]]*products_parts[Total Parallel]/products_parts[Cells in Series]</f>
        <v>32</v>
      </c>
      <c r="D151" s="75">
        <f>PI()*((products_parts[[#This Row],[diameter]]/2)^2)*products_parts[[#This Row],[length]]/1000000</f>
        <v>5.6450492994191597E-3</v>
      </c>
      <c r="E151" s="75">
        <f>IF(products_parts[[#This Row],[Volume (L)]]=0,products_parts[[#This Row],[Height]]*products_parts[[#This Row],[length]]*products_parts[[#This Row],[Width Total]]/1000000,products_parts[[#This Row],[Volume (L)]])</f>
        <v>5.6450492994191597E-3</v>
      </c>
      <c r="F151" s="75">
        <f>products_parts[esr_dc]*products_parts[Cells in Series]/products_parts[Total Parallel]</f>
        <v>0</v>
      </c>
      <c r="G151" s="75">
        <f>IF(products_parts[[#This Row],[height2]]=0,products_parts[[#This Row],[length]]-products_parts[[#This Row],[lead_space_s]],products_parts[[#This Row],[height2]])</f>
        <v>40.700000000000003</v>
      </c>
      <c r="H151" s="75">
        <f>IF(products_parts[[#This Row],[thickness]]=0,IF(products_parts[[#This Row],[width]]=0,products_parts[[#This Row],[diameter]],products_parts[[#This Row],[width]]),products_parts[[#This Row],[thickness]])</f>
        <v>12.5</v>
      </c>
      <c r="I151" s="75">
        <f>IF(products_parts[[#This Row],[voltage]]=0,1000,ROUNDUP(WorkingV/products_parts[Operating Voltage (temp)],0))</f>
        <v>5</v>
      </c>
      <c r="J151" s="75">
        <f>ROUNDUP(Constant/(WorkingV-MinV)*((products_parts[esr_dc]/1000*products_parts[[#This Row],[Cap]])+Time)*products_parts[[#This Row],[Cells in Series]]/products_parts[[#This Row],[Cap]],0)</f>
        <v>4</v>
      </c>
      <c r="K151" s="78">
        <f>ROUNDUP(((Constant/WorkingV+Constant/MinV)/2)*(((products_parts[esr_dc]/1000*products_parts[Cap]))+Time)/(WorkingV-MinV)*(products_parts[[#This Row],[Cells in Series]]/products_parts[Cap]),0)</f>
        <v>1</v>
      </c>
      <c r="L151" s="78">
        <f>IF(Calculations!$J$2=1,products_parts[Cells in Parallel],products_parts[Parallel CP])</f>
        <v>4</v>
      </c>
      <c r="M151" s="75">
        <f>products_parts[[#This Row],[Cells in Series]]*products_parts[[#This Row],[Total Parallel]]</f>
        <v>20</v>
      </c>
      <c r="N151" s="76">
        <f>products_parts[[#This Row],[Price per Cell]]*products_parts[[#This Row],[Total '# of Caps]]</f>
        <v>105</v>
      </c>
      <c r="O151" s="77">
        <f>products_parts[[#This Row],[Calculated Volume]]*products_parts[[#This Row],[Total '# of Caps]]</f>
        <v>0.11290098598838319</v>
      </c>
      <c r="P151" s="77">
        <f>products_parts[[#This Row],[weight]]*products_parts[[#This Row],[Total '# of Caps]]</f>
        <v>172</v>
      </c>
      <c r="Q151" s="78" t="b">
        <f>AND(products_parts[[#This Row],[Height]]&gt;MIN(Calculations!$K$2,Calculations!$L$2),products_parts[[#This Row],[Height]]&lt;MAX(Calculations!$K$2,Calculations!$L$2))</f>
        <v>1</v>
      </c>
      <c r="R151" s="86">
        <f>IF(ISNUMBER(SEARCH("TPL",products_parts[[#This Row],[series]])),1,IF(products_parts[[#This Row],[series]]="PC",1,IF(ISNUMBER(SEARCH("PBL",products_parts[[#This Row],[series]])),2,2)))</f>
        <v>1</v>
      </c>
      <c r="S151" s="78" t="str">
        <f>IF(TempRange=2,IF(products_parts[[#This Row],[voltage2]]=0,"0","1"),"1")</f>
        <v>1</v>
      </c>
      <c r="T151" s="78">
        <f>IF(TempRange=1,products_parts[voltage],products_parts[voltage2])</f>
        <v>2.7</v>
      </c>
      <c r="U151" s="86" t="str">
        <f>IF(ISNUMBER(SEARCH("PBL ",products_parts[series])),"PBL",products_parts[series])</f>
        <v>TPLH Radial</v>
      </c>
      <c r="V151" s="87" t="s">
        <v>227</v>
      </c>
      <c r="W151" s="87" t="s">
        <v>240</v>
      </c>
      <c r="X151" s="68">
        <v>2.7</v>
      </c>
      <c r="Y151" s="68">
        <v>2.2999999999999998</v>
      </c>
      <c r="Z151" s="68">
        <v>40000000</v>
      </c>
      <c r="AA151" s="68">
        <v>0</v>
      </c>
      <c r="AB151" s="68">
        <v>7.4999999999999997E-2</v>
      </c>
      <c r="AC151" s="68">
        <v>12.5</v>
      </c>
      <c r="AD151" s="68">
        <v>46</v>
      </c>
      <c r="AE151" s="68">
        <v>0</v>
      </c>
      <c r="AF151" s="68">
        <v>0</v>
      </c>
      <c r="AG151" s="68">
        <v>0</v>
      </c>
      <c r="AH151" s="68">
        <v>5.3</v>
      </c>
      <c r="AI151" s="87" t="s">
        <v>37</v>
      </c>
      <c r="AJ151" s="87" t="s">
        <v>38</v>
      </c>
      <c r="AK151" s="68">
        <v>8.6</v>
      </c>
      <c r="AL151" s="68">
        <v>5.25</v>
      </c>
    </row>
    <row r="152" spans="1:38" x14ac:dyDescent="0.25">
      <c r="A152" s="84">
        <f>products_parts[[#This Row],[Total Price]]+ROW()*0.0001</f>
        <v>80.265199999999993</v>
      </c>
      <c r="B152" s="75">
        <f>products_parts[[#This Row],[cap_uf]]/1000000</f>
        <v>44</v>
      </c>
      <c r="C152" s="93">
        <f>products_parts[[#This Row],[Cap]]*products_parts[Total Parallel]/products_parts[Cells in Series]</f>
        <v>26.4</v>
      </c>
      <c r="D152" s="75">
        <f>PI()*((products_parts[[#This Row],[diameter]]/2)^2)*products_parts[[#This Row],[length]]/1000000</f>
        <v>5.6450492994191597E-3</v>
      </c>
      <c r="E152" s="75">
        <f>IF(products_parts[[#This Row],[Volume (L)]]=0,products_parts[[#This Row],[Height]]*products_parts[[#This Row],[length]]*products_parts[[#This Row],[Width Total]]/1000000,products_parts[[#This Row],[Volume (L)]])</f>
        <v>5.6450492994191597E-3</v>
      </c>
      <c r="F152" s="75">
        <f>products_parts[esr_dc]*products_parts[Cells in Series]/products_parts[Total Parallel]</f>
        <v>0</v>
      </c>
      <c r="G152" s="75">
        <f>IF(products_parts[[#This Row],[height2]]=0,products_parts[[#This Row],[length]]-products_parts[[#This Row],[lead_space_s]],products_parts[[#This Row],[height2]])</f>
        <v>40.700000000000003</v>
      </c>
      <c r="H152" s="75">
        <f>IF(products_parts[[#This Row],[thickness]]=0,IF(products_parts[[#This Row],[width]]=0,products_parts[[#This Row],[diameter]],products_parts[[#This Row],[width]]),products_parts[[#This Row],[thickness]])</f>
        <v>12.5</v>
      </c>
      <c r="I152" s="75">
        <f>IF(products_parts[[#This Row],[voltage]]=0,1000,ROUNDUP(WorkingV/products_parts[Operating Voltage (temp)],0))</f>
        <v>5</v>
      </c>
      <c r="J152" s="75">
        <f>ROUNDUP(Constant/(WorkingV-MinV)*((products_parts[esr_dc]/1000*products_parts[[#This Row],[Cap]])+Time)*products_parts[[#This Row],[Cells in Series]]/products_parts[[#This Row],[Cap]],0)</f>
        <v>3</v>
      </c>
      <c r="K152" s="78">
        <f>ROUNDUP(((Constant/WorkingV+Constant/MinV)/2)*(((products_parts[esr_dc]/1000*products_parts[Cap]))+Time)/(WorkingV-MinV)*(products_parts[[#This Row],[Cells in Series]]/products_parts[Cap]),0)</f>
        <v>1</v>
      </c>
      <c r="L152" s="78">
        <f>IF(Calculations!$J$2=1,products_parts[Cells in Parallel],products_parts[Parallel CP])</f>
        <v>3</v>
      </c>
      <c r="M152" s="75">
        <f>products_parts[[#This Row],[Cells in Series]]*products_parts[[#This Row],[Total Parallel]]</f>
        <v>15</v>
      </c>
      <c r="N152" s="76">
        <f>products_parts[[#This Row],[Price per Cell]]*products_parts[[#This Row],[Total '# of Caps]]</f>
        <v>80.25</v>
      </c>
      <c r="O152" s="77">
        <f>products_parts[[#This Row],[Calculated Volume]]*products_parts[[#This Row],[Total '# of Caps]]</f>
        <v>8.46757394912874E-2</v>
      </c>
      <c r="P152" s="77">
        <f>products_parts[[#This Row],[weight]]*products_parts[[#This Row],[Total '# of Caps]]</f>
        <v>129</v>
      </c>
      <c r="Q152" s="78" t="b">
        <f>AND(products_parts[[#This Row],[Height]]&gt;MIN(Calculations!$K$2,Calculations!$L$2),products_parts[[#This Row],[Height]]&lt;MAX(Calculations!$K$2,Calculations!$L$2))</f>
        <v>1</v>
      </c>
      <c r="R152" s="86">
        <f>IF(ISNUMBER(SEARCH("TPL",products_parts[[#This Row],[series]])),1,IF(products_parts[[#This Row],[series]]="PC",1,IF(ISNUMBER(SEARCH("PBL",products_parts[[#This Row],[series]])),2,2)))</f>
        <v>1</v>
      </c>
      <c r="S152" s="78" t="str">
        <f>IF(TempRange=2,IF(products_parts[[#This Row],[voltage2]]=0,"0","1"),"1")</f>
        <v>1</v>
      </c>
      <c r="T152" s="78">
        <f>IF(TempRange=1,products_parts[voltage],products_parts[voltage2])</f>
        <v>2.7</v>
      </c>
      <c r="U152" s="86" t="str">
        <f>IF(ISNUMBER(SEARCH("PBL ",products_parts[series])),"PBL",products_parts[series])</f>
        <v>TPLH Radial</v>
      </c>
      <c r="V152" s="87" t="s">
        <v>227</v>
      </c>
      <c r="W152" s="87" t="s">
        <v>241</v>
      </c>
      <c r="X152" s="68">
        <v>2.7</v>
      </c>
      <c r="Y152" s="68">
        <v>2.2999999999999998</v>
      </c>
      <c r="Z152" s="68">
        <v>44000000</v>
      </c>
      <c r="AA152" s="68">
        <v>0</v>
      </c>
      <c r="AB152" s="68">
        <v>0.75</v>
      </c>
      <c r="AC152" s="68">
        <v>12.5</v>
      </c>
      <c r="AD152" s="68">
        <v>46</v>
      </c>
      <c r="AE152" s="68">
        <v>0</v>
      </c>
      <c r="AF152" s="68">
        <v>0</v>
      </c>
      <c r="AG152" s="68">
        <v>0</v>
      </c>
      <c r="AH152" s="68">
        <v>5.3</v>
      </c>
      <c r="AI152" s="87" t="s">
        <v>37</v>
      </c>
      <c r="AJ152" s="87" t="s">
        <v>38</v>
      </c>
      <c r="AK152" s="68">
        <v>8.6</v>
      </c>
      <c r="AL152" s="68">
        <v>5.35</v>
      </c>
    </row>
    <row r="153" spans="1:38" x14ac:dyDescent="0.25">
      <c r="A153" s="84">
        <f>products_parts[[#This Row],[Total Price]]+ROW()*0.0001</f>
        <v>62.515300000000003</v>
      </c>
      <c r="B153" s="75">
        <f>products_parts[[#This Row],[cap_uf]]/1000000</f>
        <v>75</v>
      </c>
      <c r="C153" s="93">
        <f>products_parts[[#This Row],[Cap]]*products_parts[Total Parallel]/products_parts[Cells in Series]</f>
        <v>30</v>
      </c>
      <c r="D153" s="75">
        <f>PI()*((products_parts[[#This Row],[diameter]]/2)^2)*products_parts[[#This Row],[length]]/1000000</f>
        <v>1.0178760197630929E-2</v>
      </c>
      <c r="E153" s="75">
        <f>IF(products_parts[[#This Row],[Volume (L)]]=0,products_parts[[#This Row],[Height]]*products_parts[[#This Row],[length]]*products_parts[[#This Row],[Width Total]]/1000000,products_parts[[#This Row],[Volume (L)]])</f>
        <v>1.0178760197630929E-2</v>
      </c>
      <c r="F153" s="75">
        <f>products_parts[esr_dc]*products_parts[Cells in Series]/products_parts[Total Parallel]</f>
        <v>0</v>
      </c>
      <c r="G153" s="75">
        <f>IF(products_parts[[#This Row],[height2]]=0,products_parts[[#This Row],[length]]-products_parts[[#This Row],[lead_space_s]],products_parts[[#This Row],[height2]])</f>
        <v>32.5</v>
      </c>
      <c r="H153" s="75">
        <f>IF(products_parts[[#This Row],[thickness]]=0,IF(products_parts[[#This Row],[width]]=0,products_parts[[#This Row],[diameter]],products_parts[[#This Row],[width]]),products_parts[[#This Row],[thickness]])</f>
        <v>18</v>
      </c>
      <c r="I153" s="75">
        <f>IF(products_parts[[#This Row],[voltage]]=0,1000,ROUNDUP(WorkingV/products_parts[Operating Voltage (temp)],0))</f>
        <v>5</v>
      </c>
      <c r="J153" s="75">
        <f>ROUNDUP(Constant/(WorkingV-MinV)*((products_parts[esr_dc]/1000*products_parts[[#This Row],[Cap]])+Time)*products_parts[[#This Row],[Cells in Series]]/products_parts[[#This Row],[Cap]],0)</f>
        <v>2</v>
      </c>
      <c r="K153" s="78">
        <f>ROUNDUP(((Constant/WorkingV+Constant/MinV)/2)*(((products_parts[esr_dc]/1000*products_parts[Cap]))+Time)/(WorkingV-MinV)*(products_parts[[#This Row],[Cells in Series]]/products_parts[Cap]),0)</f>
        <v>1</v>
      </c>
      <c r="L153" s="78">
        <f>IF(Calculations!$J$2=1,products_parts[Cells in Parallel],products_parts[Parallel CP])</f>
        <v>2</v>
      </c>
      <c r="M153" s="75">
        <f>products_parts[[#This Row],[Cells in Series]]*products_parts[[#This Row],[Total Parallel]]</f>
        <v>10</v>
      </c>
      <c r="N153" s="76">
        <f>products_parts[[#This Row],[Price per Cell]]*products_parts[[#This Row],[Total '# of Caps]]</f>
        <v>62.5</v>
      </c>
      <c r="O153" s="77">
        <f>products_parts[[#This Row],[Calculated Volume]]*products_parts[[#This Row],[Total '# of Caps]]</f>
        <v>0.10178760197630929</v>
      </c>
      <c r="P153" s="77">
        <f>products_parts[[#This Row],[weight]]*products_parts[[#This Row],[Total '# of Caps]]</f>
        <v>170</v>
      </c>
      <c r="Q153" s="78" t="b">
        <f>AND(products_parts[[#This Row],[Height]]&gt;MIN(Calculations!$K$2,Calculations!$L$2),products_parts[[#This Row],[Height]]&lt;MAX(Calculations!$K$2,Calculations!$L$2))</f>
        <v>1</v>
      </c>
      <c r="R153" s="86">
        <f>IF(ISNUMBER(SEARCH("TPL",products_parts[[#This Row],[series]])),1,IF(products_parts[[#This Row],[series]]="PC",1,IF(ISNUMBER(SEARCH("PBL",products_parts[[#This Row],[series]])),2,2)))</f>
        <v>1</v>
      </c>
      <c r="S153" s="78" t="str">
        <f>IF(TempRange=2,IF(products_parts[[#This Row],[voltage2]]=0,"0","1"),"1")</f>
        <v>1</v>
      </c>
      <c r="T153" s="78">
        <f>IF(TempRange=1,products_parts[voltage],products_parts[voltage2])</f>
        <v>2.7</v>
      </c>
      <c r="U153" s="86" t="str">
        <f>IF(ISNUMBER(SEARCH("PBL ",products_parts[series])),"PBL",products_parts[series])</f>
        <v>TPLH Radial</v>
      </c>
      <c r="V153" s="87" t="s">
        <v>227</v>
      </c>
      <c r="W153" s="87" t="s">
        <v>242</v>
      </c>
      <c r="X153" s="68">
        <v>2.7</v>
      </c>
      <c r="Y153" s="68">
        <v>2.2999999999999998</v>
      </c>
      <c r="Z153" s="68">
        <v>75000000</v>
      </c>
      <c r="AA153" s="68">
        <v>0</v>
      </c>
      <c r="AB153" s="68">
        <v>0.15</v>
      </c>
      <c r="AC153" s="68">
        <v>18</v>
      </c>
      <c r="AD153" s="68">
        <v>40</v>
      </c>
      <c r="AE153" s="68">
        <v>0</v>
      </c>
      <c r="AF153" s="68">
        <v>0</v>
      </c>
      <c r="AG153" s="68">
        <v>0</v>
      </c>
      <c r="AH153" s="68">
        <v>7.5</v>
      </c>
      <c r="AI153" s="87" t="s">
        <v>37</v>
      </c>
      <c r="AJ153" s="87" t="s">
        <v>38</v>
      </c>
      <c r="AK153" s="68">
        <v>17</v>
      </c>
      <c r="AL153" s="68">
        <v>6.25</v>
      </c>
    </row>
    <row r="154" spans="1:38" x14ac:dyDescent="0.25">
      <c r="A154" s="84">
        <f>products_parts[[#This Row],[Total Price]]+ROW()*0.0001</f>
        <v>67.5154</v>
      </c>
      <c r="B154" s="75">
        <f>products_parts[[#This Row],[cap_uf]]/1000000</f>
        <v>120</v>
      </c>
      <c r="C154" s="93">
        <f>products_parts[[#This Row],[Cap]]*products_parts[Total Parallel]/products_parts[Cells in Series]</f>
        <v>48</v>
      </c>
      <c r="D154" s="75">
        <f>PI()*((products_parts[[#This Row],[diameter]]/2)^2)*products_parts[[#This Row],[length]]/1000000</f>
        <v>1.5268140296446395E-2</v>
      </c>
      <c r="E154" s="75">
        <f>IF(products_parts[[#This Row],[Volume (L)]]=0,products_parts[[#This Row],[Height]]*products_parts[[#This Row],[length]]*products_parts[[#This Row],[Width Total]]/1000000,products_parts[[#This Row],[Volume (L)]])</f>
        <v>1.5268140296446395E-2</v>
      </c>
      <c r="F154" s="75">
        <f>products_parts[esr_dc]*products_parts[Cells in Series]/products_parts[Total Parallel]</f>
        <v>0</v>
      </c>
      <c r="G154" s="75">
        <f>IF(products_parts[[#This Row],[height2]]=0,products_parts[[#This Row],[length]]-products_parts[[#This Row],[lead_space_s]],products_parts[[#This Row],[height2]])</f>
        <v>52.5</v>
      </c>
      <c r="H154" s="75">
        <f>IF(products_parts[[#This Row],[thickness]]=0,IF(products_parts[[#This Row],[width]]=0,products_parts[[#This Row],[diameter]],products_parts[[#This Row],[width]]),products_parts[[#This Row],[thickness]])</f>
        <v>18</v>
      </c>
      <c r="I154" s="75">
        <f>IF(products_parts[[#This Row],[voltage]]=0,1000,ROUNDUP(WorkingV/products_parts[Operating Voltage (temp)],0))</f>
        <v>5</v>
      </c>
      <c r="J154" s="75">
        <f>ROUNDUP(Constant/(WorkingV-MinV)*((products_parts[esr_dc]/1000*products_parts[[#This Row],[Cap]])+Time)*products_parts[[#This Row],[Cells in Series]]/products_parts[[#This Row],[Cap]],0)</f>
        <v>2</v>
      </c>
      <c r="K154" s="78">
        <f>ROUNDUP(((Constant/WorkingV+Constant/MinV)/2)*(((products_parts[esr_dc]/1000*products_parts[Cap]))+Time)/(WorkingV-MinV)*(products_parts[[#This Row],[Cells in Series]]/products_parts[Cap]),0)</f>
        <v>1</v>
      </c>
      <c r="L154" s="78">
        <f>IF(Calculations!$J$2=1,products_parts[Cells in Parallel],products_parts[Parallel CP])</f>
        <v>2</v>
      </c>
      <c r="M154" s="75">
        <f>products_parts[[#This Row],[Cells in Series]]*products_parts[[#This Row],[Total Parallel]]</f>
        <v>10</v>
      </c>
      <c r="N154" s="76">
        <f>products_parts[[#This Row],[Price per Cell]]*products_parts[[#This Row],[Total '# of Caps]]</f>
        <v>67.5</v>
      </c>
      <c r="O154" s="77">
        <f>products_parts[[#This Row],[Calculated Volume]]*products_parts[[#This Row],[Total '# of Caps]]</f>
        <v>0.15268140296446395</v>
      </c>
      <c r="P154" s="77">
        <f>products_parts[[#This Row],[weight]]*products_parts[[#This Row],[Total '# of Caps]]</f>
        <v>230</v>
      </c>
      <c r="Q154" s="78" t="b">
        <f>AND(products_parts[[#This Row],[Height]]&gt;MIN(Calculations!$K$2,Calculations!$L$2),products_parts[[#This Row],[Height]]&lt;MAX(Calculations!$K$2,Calculations!$L$2))</f>
        <v>1</v>
      </c>
      <c r="R154" s="86">
        <f>IF(ISNUMBER(SEARCH("TPL",products_parts[[#This Row],[series]])),1,IF(products_parts[[#This Row],[series]]="PC",1,IF(ISNUMBER(SEARCH("PBL",products_parts[[#This Row],[series]])),2,2)))</f>
        <v>1</v>
      </c>
      <c r="S154" s="78" t="str">
        <f>IF(TempRange=2,IF(products_parts[[#This Row],[voltage2]]=0,"0","1"),"1")</f>
        <v>1</v>
      </c>
      <c r="T154" s="78">
        <f>IF(TempRange=1,products_parts[voltage],products_parts[voltage2])</f>
        <v>2.7</v>
      </c>
      <c r="U154" s="86" t="str">
        <f>IF(ISNUMBER(SEARCH("PBL ",products_parts[series])),"PBL",products_parts[series])</f>
        <v>TPLH Radial</v>
      </c>
      <c r="V154" s="87" t="s">
        <v>227</v>
      </c>
      <c r="W154" s="87" t="s">
        <v>243</v>
      </c>
      <c r="X154" s="68">
        <v>2.7</v>
      </c>
      <c r="Y154" s="68">
        <v>2.2999999999999998</v>
      </c>
      <c r="Z154" s="68">
        <v>120000000</v>
      </c>
      <c r="AA154" s="68">
        <v>0</v>
      </c>
      <c r="AB154" s="68">
        <v>0.26</v>
      </c>
      <c r="AC154" s="68">
        <v>18</v>
      </c>
      <c r="AD154" s="68">
        <v>60</v>
      </c>
      <c r="AE154" s="68">
        <v>0</v>
      </c>
      <c r="AF154" s="68">
        <v>0</v>
      </c>
      <c r="AG154" s="68">
        <v>0</v>
      </c>
      <c r="AH154" s="68">
        <v>7.5</v>
      </c>
      <c r="AI154" s="87" t="s">
        <v>37</v>
      </c>
      <c r="AJ154" s="87" t="s">
        <v>38</v>
      </c>
      <c r="AK154" s="68">
        <v>23</v>
      </c>
      <c r="AL154" s="68">
        <v>6.75</v>
      </c>
    </row>
    <row r="155" spans="1:38" x14ac:dyDescent="0.25">
      <c r="A155" s="84">
        <f>products_parts[[#This Row],[Total Price]]+ROW()*0.0001</f>
        <v>8550.0154999999995</v>
      </c>
      <c r="B155" s="75">
        <f>products_parts[[#This Row],[cap_uf]]/1000000</f>
        <v>4</v>
      </c>
      <c r="C155" s="93">
        <f>products_parts[[#This Row],[Cap]]*products_parts[Total Parallel]/products_parts[Cells in Series]</f>
        <v>30.4</v>
      </c>
      <c r="D155" s="75">
        <f>PI()*((products_parts[[#This Row],[diameter]]/2)^2)*products_parts[[#This Row],[length]]/1000000</f>
        <v>0</v>
      </c>
      <c r="E155" s="75">
        <f>IF(products_parts[[#This Row],[Volume (L)]]=0,products_parts[[#This Row],[Height]]*products_parts[[#This Row],[length]]*products_parts[[#This Row],[Width Total]]/1000000,products_parts[[#This Row],[Volume (L)]])</f>
        <v>5.9808000000000007E-4</v>
      </c>
      <c r="F155" s="75">
        <f>products_parts[esr_dc]*products_parts[Cells in Series]/products_parts[Total Parallel]</f>
        <v>65.78947368421052</v>
      </c>
      <c r="G155" s="75">
        <f>IF(products_parts[[#This Row],[height2]]=0,products_parts[[#This Row],[length]]-products_parts[[#This Row],[lead_space_s]],products_parts[[#This Row],[height2]])</f>
        <v>8.9</v>
      </c>
      <c r="H155" s="75">
        <f>IF(products_parts[[#This Row],[thickness]]=0,IF(products_parts[[#This Row],[width]]=0,products_parts[[#This Row],[diameter]],products_parts[[#This Row],[width]]),products_parts[[#This Row],[thickness]])</f>
        <v>4.8</v>
      </c>
      <c r="I155" s="75">
        <f>IF(products_parts[[#This Row],[voltage]]=0,1000,ROUNDUP(WorkingV/products_parts[Operating Voltage (temp)],0))</f>
        <v>5</v>
      </c>
      <c r="J155" s="75">
        <f>ROUNDUP(Constant/(WorkingV-MinV)*((products_parts[esr_dc]/1000*products_parts[[#This Row],[Cap]])+Time)*products_parts[[#This Row],[Cells in Series]]/products_parts[[#This Row],[Cap]],0)</f>
        <v>38</v>
      </c>
      <c r="K155" s="78">
        <f>ROUNDUP(((Constant/WorkingV+Constant/MinV)/2)*(((products_parts[esr_dc]/1000*products_parts[Cap]))+Time)/(WorkingV-MinV)*(products_parts[[#This Row],[Cells in Series]]/products_parts[Cap]),0)</f>
        <v>4</v>
      </c>
      <c r="L155" s="78">
        <f>IF(Calculations!$J$2=1,products_parts[Cells in Parallel],products_parts[Parallel CP])</f>
        <v>38</v>
      </c>
      <c r="M155" s="75">
        <f>products_parts[[#This Row],[Cells in Series]]*products_parts[[#This Row],[Total Parallel]]</f>
        <v>190</v>
      </c>
      <c r="N155" s="76">
        <f>products_parts[[#This Row],[Price per Cell]]*products_parts[[#This Row],[Total '# of Caps]]</f>
        <v>8550</v>
      </c>
      <c r="O155" s="77">
        <f>products_parts[[#This Row],[Calculated Volume]]*products_parts[[#This Row],[Total '# of Caps]]</f>
        <v>0.11363520000000002</v>
      </c>
      <c r="P155" s="77">
        <f>products_parts[[#This Row],[weight]]*products_parts[[#This Row],[Total '# of Caps]]</f>
        <v>760</v>
      </c>
      <c r="Q155" s="78" t="b">
        <f>AND(products_parts[[#This Row],[Height]]&gt;MIN(Calculations!$K$2,Calculations!$L$2),products_parts[[#This Row],[Height]]&lt;MAX(Calculations!$K$2,Calculations!$L$2))</f>
        <v>1</v>
      </c>
      <c r="R155" s="86">
        <f>IF(ISNUMBER(SEARCH("TPL",products_parts[[#This Row],[series]])),1,IF(products_parts[[#This Row],[series]]="PC",1,IF(ISNUMBER(SEARCH("PBL",products_parts[[#This Row],[series]])),2,2)))</f>
        <v>1</v>
      </c>
      <c r="S155" s="78" t="str">
        <f>IF(TempRange=2,IF(products_parts[[#This Row],[voltage2]]=0,"0","1"),"1")</f>
        <v>1</v>
      </c>
      <c r="T155" s="78">
        <f>IF(TempRange=1,products_parts[voltage],products_parts[voltage2])</f>
        <v>2.5</v>
      </c>
      <c r="U155" s="86" t="str">
        <f>IF(ISNUMBER(SEARCH("PBL ",products_parts[series])),"PBL",products_parts[series])</f>
        <v>PC</v>
      </c>
      <c r="V155" s="87" t="s">
        <v>40</v>
      </c>
      <c r="W155" s="87" t="s">
        <v>22</v>
      </c>
      <c r="X155" s="68">
        <v>2.5</v>
      </c>
      <c r="Y155" s="68">
        <v>0</v>
      </c>
      <c r="Z155" s="68">
        <v>4000000</v>
      </c>
      <c r="AA155" s="68">
        <v>500</v>
      </c>
      <c r="AB155" s="68">
        <v>0.02</v>
      </c>
      <c r="AC155" s="68">
        <v>0</v>
      </c>
      <c r="AD155" s="68">
        <v>14</v>
      </c>
      <c r="AE155" s="68">
        <v>23.6</v>
      </c>
      <c r="AF155" s="68">
        <v>0</v>
      </c>
      <c r="AG155" s="68">
        <v>4.8</v>
      </c>
      <c r="AH155" s="68">
        <v>5.0999999999999996</v>
      </c>
      <c r="AI155" s="87" t="s">
        <v>39</v>
      </c>
      <c r="AJ155" s="87" t="s">
        <v>156</v>
      </c>
      <c r="AK155" s="68">
        <v>4</v>
      </c>
      <c r="AL155" s="68">
        <v>45</v>
      </c>
    </row>
  </sheetData>
  <protectedRanges>
    <protectedRange algorithmName="SHA-512" hashValue="hq8WMfrzA1qmHEeqzghPB9kP3GYHau+eHg9eYxCL4Ppi2HWGQTLAK5zdSu5RE7ZnIRkkfoI/E3+2EOdeBF4F1g==" saltValue="rGOseZEt2mOj4I9x926cFA==" spinCount="100000" sqref="V2:AL123" name="Range1" securityDescriptor="O:WDG:WDD:(A;;CC;;;AU)"/>
  </protectedRange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8 4 0 f 8 c 7 2 - 5 8 3 4 - 4 6 7 0 - a b a 6 - 1 a 1 2 3 7 d a 5 c f 2 "   x m l n s = " h t t p : / / s c h e m a s . m i c r o s o f t . c o m / D a t a M a s h u p " > A A A A A B Y D A A B Q S w M E F A A C A A g A N H r + T M 1 0 P a + m A A A A + A A A A B I A H A B D b 2 5 m a W c v U G F j a 2 F n Z S 5 4 b W w g o h g A K K A U A A A A A A A A A A A A A A A A A A A A A A A A A A A A h Y + 9 D o I w G E V f h X S n P x A S J R 9 l c J X E h G h c m 1 K h E Y q h x f J u D j 6 S r y C J o m 6 O 9 + Q M 5 z 5 u d 8 i n r g 2 u a r C 6 N x l i m K J A G d l X 2 t Q Z G t 0 p X K G c w 0 7 I s 6 h V M M v G p p O t M t Q 4 d 0 k J 8 d 5 j H + N + q E l E K S P H Y l v K R n U C f W T 9 X w 6 1 s U 4 Y q R C H w y u G R z h Z 4 4 T F C W Y R A 7 J g K L T 5 K t F c j C m Q H w i b s X X j o L g y 4 b 4 E s k w g 7 x f 8 C V B L A w Q U A A I A C A A 0 e v 5 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N H r + T C i K R 7 g O A A A A E Q A A A B M A H A B G b 3 J t d W x h c y 9 T Z W N 0 a W 9 u M S 5 t I K I Y A C i g F A A A A A A A A A A A A A A A A A A A A A A A A A A A A C t O T S 7 J z M 9 T C I b Q h t Y A U E s B A i 0 A F A A C A A g A N H r + T M 1 0 P a + m A A A A + A A A A B I A A A A A A A A A A A A A A A A A A A A A A E N v b m Z p Z y 9 Q Y W N r Y W d l L n h t b F B L A Q I t A B Q A A g A I A D R 6 / k w P y u m r p A A A A O k A A A A T A A A A A A A A A A A A A A A A A P I A A A B b Q 2 9 u d G V u d F 9 U e X B l c 1 0 u e G 1 s U E s B A i 0 A F A A C A A g A N H r + T 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i E U z 3 U C d l K l 2 d 4 4 9 n I O F 8 A A A A A A g A A A A A A E G Y A A A A B A A A g A A A A Z H a r F V 0 C 6 8 6 2 5 x J 7 C G n y K E m O / H J n e g U 4 E G G n k h E P H z c A A A A A D o A A A A A C A A A g A A A A t v T G 6 H e a f C j t U Y R p p E r 0 n x E + l T n V t b 1 c F W x K Q C o 4 + w 9 Q A A A A A S k K M l g 3 t + c W P l l I x V o q d u n H v j n u u r m y J 1 X Y S w g C a 4 v D u O 4 q O y o f 0 R 0 q L G o y Y W 3 z s k s L m / 9 D T w o P J 2 Y s F z K k 8 x 6 Q o S o K 3 F d K i M T S M 4 z O + 6 J A A A A A G Q P Q B w F g 0 g Q 2 S V l 3 c t r X b B c W q Q 1 7 x R T p 7 C I S N l A e r e V R v D 0 k 7 J k K j U 2 L X G V A C 2 J d o L N k 8 M X C X G n h f d / 5 i Z g I g w = = < / D a t a M a s h u p > 
</file>

<file path=customXml/item2.xml><?xml version="1.0" encoding="utf-8"?>
<ct:contentTypeSchema xmlns:ct="http://schemas.microsoft.com/office/2006/metadata/contentType" xmlns:ma="http://schemas.microsoft.com/office/2006/metadata/properties/metaAttributes" ct:_="" ma:_="" ma:contentTypeName="Document" ma:contentTypeID="0x010100DCF98C51BCF86E45A817D6E54EE5CB03" ma:contentTypeVersion="11" ma:contentTypeDescription="Create a new document." ma:contentTypeScope="" ma:versionID="1bdbec520931869b9bb919bf363fac7f">
  <xsd:schema xmlns:xsd="http://www.w3.org/2001/XMLSchema" xmlns:xs="http://www.w3.org/2001/XMLSchema" xmlns:p="http://schemas.microsoft.com/office/2006/metadata/properties" xmlns:ns2="b2c9831d-a396-46ba-bcb5-7b1c3cff002f" xmlns:ns3="232b9dd4-6128-4ed1-9dff-416b300633e9" targetNamespace="http://schemas.microsoft.com/office/2006/metadata/properties" ma:root="true" ma:fieldsID="6781a5a91d9d66c4ec4a9c12497b7541" ns2:_="" ns3:_="">
    <xsd:import namespace="b2c9831d-a396-46ba-bcb5-7b1c3cff002f"/>
    <xsd:import namespace="232b9dd4-6128-4ed1-9dff-416b300633e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Person" minOccurs="0"/>
                <xsd:element ref="ns2:MediaServiceEventHashCode" minOccurs="0"/>
                <xsd:element ref="ns2:MediaServiceGenerationTime" minOccurs="0"/>
                <xsd:element ref="ns2:MediaServiceAutoTag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c9831d-a396-46ba-bcb5-7b1c3cff002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Person" ma:index="13" nillable="true" ma:displayName="Person" ma:list="UserInfo" ma:SharePointGroup="0" ma:internalName="Person">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2b9dd4-6128-4ed1-9dff-416b300633e9"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erson xmlns="b2c9831d-a396-46ba-bcb5-7b1c3cff002f">
      <UserInfo>
        <DisplayName/>
        <AccountId xsi:nil="true"/>
        <AccountType/>
      </UserInfo>
    </Person>
  </documentManagement>
</p:properties>
</file>

<file path=customXml/itemProps1.xml><?xml version="1.0" encoding="utf-8"?>
<ds:datastoreItem xmlns:ds="http://schemas.openxmlformats.org/officeDocument/2006/customXml" ds:itemID="{0F9A52D1-9A0D-4B4A-8018-45CC952F931B}">
  <ds:schemaRefs>
    <ds:schemaRef ds:uri="http://schemas.microsoft.com/DataMashup"/>
  </ds:schemaRefs>
</ds:datastoreItem>
</file>

<file path=customXml/itemProps2.xml><?xml version="1.0" encoding="utf-8"?>
<ds:datastoreItem xmlns:ds="http://schemas.openxmlformats.org/officeDocument/2006/customXml" ds:itemID="{418FE7C1-C596-4325-9ADB-ED643ED6B5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c9831d-a396-46ba-bcb5-7b1c3cff002f"/>
    <ds:schemaRef ds:uri="232b9dd4-6128-4ed1-9dff-416b300633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081A78-55C5-4929-A2C7-1D722FB74F2E}">
  <ds:schemaRefs>
    <ds:schemaRef ds:uri="http://schemas.microsoft.com/sharepoint/v3/contenttype/forms"/>
  </ds:schemaRefs>
</ds:datastoreItem>
</file>

<file path=customXml/itemProps4.xml><?xml version="1.0" encoding="utf-8"?>
<ds:datastoreItem xmlns:ds="http://schemas.openxmlformats.org/officeDocument/2006/customXml" ds:itemID="{5D6C1AB2-E5FB-46B2-A7E0-316994A563E6}">
  <ds:schemaRefs>
    <ds:schemaRef ds:uri="http://purl.org/dc/elements/1.1/"/>
    <ds:schemaRef ds:uri="http://schemas.openxmlformats.org/package/2006/metadata/core-properties"/>
    <ds:schemaRef ds:uri="http://www.w3.org/XML/1998/namespace"/>
    <ds:schemaRef ds:uri="http://schemas.microsoft.com/office/2006/metadata/properties"/>
    <ds:schemaRef ds:uri="http://purl.org/dc/dcmitype/"/>
    <ds:schemaRef ds:uri="232b9dd4-6128-4ed1-9dff-416b300633e9"/>
    <ds:schemaRef ds:uri="http://schemas.microsoft.com/office/2006/documentManagement/types"/>
    <ds:schemaRef ds:uri="http://purl.org/dc/terms/"/>
    <ds:schemaRef ds:uri="http://schemas.microsoft.com/office/infopath/2007/PartnerControls"/>
    <ds:schemaRef ds:uri="b2c9831d-a396-46ba-bcb5-7b1c3cff002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Inputs</vt:lpstr>
      <vt:lpstr>Calculations</vt:lpstr>
      <vt:lpstr>Product Data</vt:lpstr>
      <vt:lpstr>Cells</vt:lpstr>
      <vt:lpstr>Constant</vt:lpstr>
      <vt:lpstr>Current</vt:lpstr>
      <vt:lpstr>HeightTable</vt:lpstr>
      <vt:lpstr>MaxH</vt:lpstr>
      <vt:lpstr>MinV</vt:lpstr>
      <vt:lpstr>Modules</vt:lpstr>
      <vt:lpstr>TempRange</vt:lpstr>
      <vt:lpstr>Time</vt:lpstr>
      <vt:lpstr>WorkingV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Preuss</dc:creator>
  <cp:lastModifiedBy>Peter Preuss</cp:lastModifiedBy>
  <dcterms:created xsi:type="dcterms:W3CDTF">2018-07-19T20:41:58Z</dcterms:created>
  <dcterms:modified xsi:type="dcterms:W3CDTF">2019-07-23T21:45:35Z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0x010100DCF98C51BCF86E45A817D6E54EE5CB03</vt:lpwstr>
  </property>
</Properties>
</file>